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\\Controladoria\1_diretoria\Projeto de Consultoria 8\41 PROJETO CENTRAL ROLAMENTOS E RETENTORES LTDA\5 - SETOR FINANCEIRO\4 - CONTROLES FINANCEIROS\2026 Fluxo de Caixa e DRE CTR\"/>
    </mc:Choice>
  </mc:AlternateContent>
  <xr:revisionPtr revIDLastSave="0" documentId="13_ncr:1_{9D7159CB-DE42-4C0C-9F03-9A7A1B3F52C0}" xr6:coauthVersionLast="47" xr6:coauthVersionMax="47" xr10:uidLastSave="{00000000-0000-0000-0000-000000000000}"/>
  <bookViews>
    <workbookView xWindow="28680" yWindow="-120" windowWidth="29040" windowHeight="15840" tabRatio="809" activeTab="5" xr2:uid="{00000000-000D-0000-FFFF-FFFF00000000}"/>
  </bookViews>
  <sheets>
    <sheet name="JANEIRO" sheetId="1" r:id="rId1"/>
    <sheet name="FEVEREIRO" sheetId="30" r:id="rId2"/>
    <sheet name="MARÇO" sheetId="31" r:id="rId3"/>
    <sheet name="1 Tri 2026" sheetId="33" r:id="rId4"/>
    <sheet name="ABRIL" sheetId="32" r:id="rId5"/>
    <sheet name="MAIO" sheetId="36" r:id="rId6"/>
    <sheet name="JUNHO" sheetId="38" r:id="rId7"/>
    <sheet name="2 Tri 2026" sheetId="42" r:id="rId8"/>
    <sheet name="1 Sem 2026" sheetId="35" r:id="rId9"/>
    <sheet name="JULHO" sheetId="39" r:id="rId10"/>
    <sheet name="AGOSTO" sheetId="40" r:id="rId11"/>
    <sheet name="SETEMBRO" sheetId="41" r:id="rId12"/>
    <sheet name="3 Tri 2026" sheetId="43" r:id="rId13"/>
    <sheet name="OUTUBRO" sheetId="44" r:id="rId14"/>
    <sheet name="NOVEMBRO" sheetId="45" r:id="rId15"/>
    <sheet name="DEZEMBRO" sheetId="48" r:id="rId16"/>
    <sheet name="2 Sem 2026" sheetId="46" r:id="rId17"/>
    <sheet name="Anual 2026" sheetId="47" r:id="rId18"/>
    <sheet name="Checar Cofre" sheetId="14" r:id="rId19"/>
    <sheet name="Plan8" sheetId="10" r:id="rId20"/>
  </sheets>
  <definedNames>
    <definedName name="_xlnm._FilterDatabase" localSheetId="8" hidden="1">'1 Sem 2026'!$B$1:$P$86</definedName>
    <definedName name="_xlnm._FilterDatabase" localSheetId="3" hidden="1">'1 Tri 2026'!$B$1:$P$86</definedName>
    <definedName name="_xlnm._FilterDatabase" localSheetId="16" hidden="1">'2 Sem 2026'!$B$1:$P$86</definedName>
    <definedName name="_xlnm._FilterDatabase" localSheetId="7" hidden="1">'2 Tri 2026'!$B$1:$P$86</definedName>
    <definedName name="_xlnm._FilterDatabase" localSheetId="12" hidden="1">'3 Tri 2026'!$B$1:$P$86</definedName>
    <definedName name="_xlnm._FilterDatabase" localSheetId="4" hidden="1">ABRIL!$B$1:$D$86</definedName>
    <definedName name="_xlnm._FilterDatabase" localSheetId="10" hidden="1">AGOSTO!$B$1:$D$86</definedName>
    <definedName name="_xlnm._FilterDatabase" localSheetId="17" hidden="1">'Anual 2026'!$B$1:$P$86</definedName>
    <definedName name="_xlnm._FilterDatabase" localSheetId="18" hidden="1">'Checar Cofre'!$B$1:$G$14</definedName>
    <definedName name="_xlnm._FilterDatabase" localSheetId="15" hidden="1">DEZEMBRO!$B$1:$D$86</definedName>
    <definedName name="_xlnm._FilterDatabase" localSheetId="1" hidden="1">FEVEREIRO!$B$1:$D$86</definedName>
    <definedName name="_xlnm._FilterDatabase" localSheetId="0" hidden="1">JANEIRO!$B$1:$D$86</definedName>
    <definedName name="_xlnm._FilterDatabase" localSheetId="9" hidden="1">JULHO!$B$1:$D$86</definedName>
    <definedName name="_xlnm._FilterDatabase" localSheetId="6" hidden="1">JUNHO!$B$1:$D$86</definedName>
    <definedName name="_xlnm._FilterDatabase" localSheetId="5" hidden="1">MAIO!$B$1:$D$86</definedName>
    <definedName name="_xlnm._FilterDatabase" localSheetId="2" hidden="1">MARÇO!$B$1:$D$86</definedName>
    <definedName name="_xlnm._FilterDatabase" localSheetId="14" hidden="1">NOVEMBRO!$B$1:$D$86</definedName>
    <definedName name="_xlnm._FilterDatabase" localSheetId="13" hidden="1">OUTUBRO!$B$1:$D$86</definedName>
    <definedName name="_xlnm._FilterDatabase" localSheetId="11" hidden="1">SETEMBRO!$B$1:$D$86</definedName>
    <definedName name="_xlnm.Print_Area" localSheetId="8">Fluxo_de_Caixa_Janeiro310208[#All]</definedName>
    <definedName name="_xlnm.Print_Area" localSheetId="3">'1 Tri 2026'!$B$1:$R$361</definedName>
    <definedName name="_xlnm.Print_Area" localSheetId="16">'2 Sem 2026'!$B$1:$T$352</definedName>
    <definedName name="_xlnm.Print_Area" localSheetId="7">'2 Tri 2026'!$B$1:$T$361</definedName>
    <definedName name="_xlnm.Print_Area" localSheetId="12">'3 Tri 2026'!$B$1:$T$361</definedName>
    <definedName name="_xlnm.Print_Area" localSheetId="4">ABRIL!$B$1:$E$361</definedName>
    <definedName name="_xlnm.Print_Area" localSheetId="10">AGOSTO!$B$1:$E$361</definedName>
    <definedName name="_xlnm.Print_Area" localSheetId="17">'Anual 2026'!$B$1:$T$372</definedName>
    <definedName name="_xlnm.Print_Area" localSheetId="15">DEZEMBRO!$B$1:$E$361</definedName>
    <definedName name="_xlnm.Print_Area" localSheetId="1">FEVEREIRO!$B$1:$E$361</definedName>
    <definedName name="_xlnm.Print_Area" localSheetId="0">JANEIRO!$B$1:$E$361</definedName>
    <definedName name="_xlnm.Print_Area" localSheetId="9">JULHO!$B$1:$E$361</definedName>
    <definedName name="_xlnm.Print_Area" localSheetId="6">JUNHO!$B$1:$E$361</definedName>
    <definedName name="_xlnm.Print_Area" localSheetId="5">MAIO!$B$1:$O$361</definedName>
    <definedName name="_xlnm.Print_Area" localSheetId="2">MARÇO!$B$1:$E$361</definedName>
    <definedName name="_xlnm.Print_Area" localSheetId="14">NOVEMBRO!$B$1:$V$361</definedName>
    <definedName name="_xlnm.Print_Area" localSheetId="13">OUTUBRO!$B$1:$Q$361</definedName>
    <definedName name="_xlnm.Print_Area" localSheetId="11">SETEMBRO!$B$1:$E$361</definedName>
    <definedName name="Z_26DA5B32_7566_4E5C_94BD_406C7E00331A_.wvu.Cols" localSheetId="8" hidden="1">'1 Sem 2026'!#REF!</definedName>
    <definedName name="Z_26DA5B32_7566_4E5C_94BD_406C7E00331A_.wvu.Cols" localSheetId="3" hidden="1">'1 Tri 2026'!#REF!</definedName>
    <definedName name="Z_26DA5B32_7566_4E5C_94BD_406C7E00331A_.wvu.Cols" localSheetId="16" hidden="1">'2 Sem 2026'!#REF!</definedName>
    <definedName name="Z_26DA5B32_7566_4E5C_94BD_406C7E00331A_.wvu.Cols" localSheetId="7" hidden="1">'2 Tri 2026'!#REF!</definedName>
    <definedName name="Z_26DA5B32_7566_4E5C_94BD_406C7E00331A_.wvu.Cols" localSheetId="12" hidden="1">'3 Tri 2026'!#REF!</definedName>
    <definedName name="Z_26DA5B32_7566_4E5C_94BD_406C7E00331A_.wvu.Cols" localSheetId="4" hidden="1">ABRIL!#REF!</definedName>
    <definedName name="Z_26DA5B32_7566_4E5C_94BD_406C7E00331A_.wvu.Cols" localSheetId="10" hidden="1">AGOSTO!#REF!</definedName>
    <definedName name="Z_26DA5B32_7566_4E5C_94BD_406C7E00331A_.wvu.Cols" localSheetId="17" hidden="1">'Anual 2026'!#REF!</definedName>
    <definedName name="Z_26DA5B32_7566_4E5C_94BD_406C7E00331A_.wvu.Cols" localSheetId="15" hidden="1">DEZEMBRO!#REF!</definedName>
    <definedName name="Z_26DA5B32_7566_4E5C_94BD_406C7E00331A_.wvu.Cols" localSheetId="1" hidden="1">FEVEREIRO!#REF!</definedName>
    <definedName name="Z_26DA5B32_7566_4E5C_94BD_406C7E00331A_.wvu.Cols" localSheetId="0" hidden="1">JANEIRO!#REF!</definedName>
    <definedName name="Z_26DA5B32_7566_4E5C_94BD_406C7E00331A_.wvu.Cols" localSheetId="9" hidden="1">JULHO!#REF!</definedName>
    <definedName name="Z_26DA5B32_7566_4E5C_94BD_406C7E00331A_.wvu.Cols" localSheetId="6" hidden="1">JUNHO!#REF!</definedName>
    <definedName name="Z_26DA5B32_7566_4E5C_94BD_406C7E00331A_.wvu.Cols" localSheetId="5" hidden="1">MAIO!#REF!</definedName>
    <definedName name="Z_26DA5B32_7566_4E5C_94BD_406C7E00331A_.wvu.Cols" localSheetId="2" hidden="1">MARÇO!#REF!</definedName>
    <definedName name="Z_26DA5B32_7566_4E5C_94BD_406C7E00331A_.wvu.Cols" localSheetId="14" hidden="1">NOVEMBRO!#REF!</definedName>
    <definedName name="Z_26DA5B32_7566_4E5C_94BD_406C7E00331A_.wvu.Cols" localSheetId="13" hidden="1">OUTUBRO!#REF!</definedName>
    <definedName name="Z_26DA5B32_7566_4E5C_94BD_406C7E00331A_.wvu.Cols" localSheetId="11" hidden="1">SETEMBRO!#REF!</definedName>
    <definedName name="Z_26DA5B32_7566_4E5C_94BD_406C7E00331A_.wvu.FilterData" localSheetId="8" hidden="1">'1 Sem 2026'!$B$1:$P$86</definedName>
    <definedName name="Z_26DA5B32_7566_4E5C_94BD_406C7E00331A_.wvu.FilterData" localSheetId="3" hidden="1">'1 Tri 2026'!$B$1:$P$86</definedName>
    <definedName name="Z_26DA5B32_7566_4E5C_94BD_406C7E00331A_.wvu.FilterData" localSheetId="16" hidden="1">'2 Sem 2026'!$B$1:$P$86</definedName>
    <definedName name="Z_26DA5B32_7566_4E5C_94BD_406C7E00331A_.wvu.FilterData" localSheetId="7" hidden="1">'2 Tri 2026'!$B$1:$P$86</definedName>
    <definedName name="Z_26DA5B32_7566_4E5C_94BD_406C7E00331A_.wvu.FilterData" localSheetId="12" hidden="1">'3 Tri 2026'!$B$1:$P$86</definedName>
    <definedName name="Z_26DA5B32_7566_4E5C_94BD_406C7E00331A_.wvu.FilterData" localSheetId="4" hidden="1">ABRIL!$B$1:$D$86</definedName>
    <definedName name="Z_26DA5B32_7566_4E5C_94BD_406C7E00331A_.wvu.FilterData" localSheetId="10" hidden="1">AGOSTO!$B$1:$D$86</definedName>
    <definedName name="Z_26DA5B32_7566_4E5C_94BD_406C7E00331A_.wvu.FilterData" localSheetId="17" hidden="1">'Anual 2026'!$B$1:$P$86</definedName>
    <definedName name="Z_26DA5B32_7566_4E5C_94BD_406C7E00331A_.wvu.FilterData" localSheetId="15" hidden="1">DEZEMBRO!$B$1:$D$86</definedName>
    <definedName name="Z_26DA5B32_7566_4E5C_94BD_406C7E00331A_.wvu.FilterData" localSheetId="1" hidden="1">FEVEREIRO!$B$1:$D$86</definedName>
    <definedName name="Z_26DA5B32_7566_4E5C_94BD_406C7E00331A_.wvu.FilterData" localSheetId="0" hidden="1">JANEIRO!$B$1:$D$86</definedName>
    <definedName name="Z_26DA5B32_7566_4E5C_94BD_406C7E00331A_.wvu.FilterData" localSheetId="9" hidden="1">JULHO!$B$1:$D$86</definedName>
    <definedName name="Z_26DA5B32_7566_4E5C_94BD_406C7E00331A_.wvu.FilterData" localSheetId="6" hidden="1">JUNHO!$B$1:$D$86</definedName>
    <definedName name="Z_26DA5B32_7566_4E5C_94BD_406C7E00331A_.wvu.FilterData" localSheetId="5" hidden="1">MAIO!$B$1:$D$86</definedName>
    <definedName name="Z_26DA5B32_7566_4E5C_94BD_406C7E00331A_.wvu.FilterData" localSheetId="2" hidden="1">MARÇO!$B$1:$D$86</definedName>
    <definedName name="Z_26DA5B32_7566_4E5C_94BD_406C7E00331A_.wvu.FilterData" localSheetId="14" hidden="1">NOVEMBRO!$B$1:$D$86</definedName>
    <definedName name="Z_26DA5B32_7566_4E5C_94BD_406C7E00331A_.wvu.FilterData" localSheetId="13" hidden="1">OUTUBRO!$B$1:$D$86</definedName>
    <definedName name="Z_26DA5B32_7566_4E5C_94BD_406C7E00331A_.wvu.FilterData" localSheetId="11" hidden="1">SETEMBRO!$B$1:$D$86</definedName>
    <definedName name="Z_26DA5B32_7566_4E5C_94BD_406C7E00331A_.wvu.Rows" localSheetId="8" hidden="1">'1 Sem 2026'!$14:$17,'1 Sem 2026'!$47:$47,'1 Sem 2026'!$51:$51,'1 Sem 2026'!$95:$95,'1 Sem 2026'!$166:$166,'1 Sem 2026'!$200:$201,'1 Sem 2026'!$351:$351,'1 Sem 2026'!#REF!,'1 Sem 2026'!#REF!,'1 Sem 2026'!#REF!</definedName>
    <definedName name="Z_26DA5B32_7566_4E5C_94BD_406C7E00331A_.wvu.Rows" localSheetId="3" hidden="1">'1 Tri 2026'!$23:$26,'1 Tri 2026'!$47:$47,'1 Tri 2026'!$51:$51,'1 Tri 2026'!$95:$95,'1 Tri 2026'!$166:$166,'1 Tri 2026'!$200:$201,'1 Tri 2026'!#REF!,'1 Tri 2026'!#REF!,'1 Tri 2026'!#REF!,'1 Tri 2026'!#REF!</definedName>
    <definedName name="Z_26DA5B32_7566_4E5C_94BD_406C7E00331A_.wvu.Rows" localSheetId="16" hidden="1">'2 Sem 2026'!$14:$17,'2 Sem 2026'!$47:$47,'2 Sem 2026'!$51:$51,'2 Sem 2026'!$95:$95,'2 Sem 2026'!$166:$166,'2 Sem 2026'!$200:$201,'2 Sem 2026'!$351:$351,'2 Sem 2026'!#REF!,'2 Sem 2026'!#REF!,'2 Sem 2026'!#REF!</definedName>
    <definedName name="Z_26DA5B32_7566_4E5C_94BD_406C7E00331A_.wvu.Rows" localSheetId="7" hidden="1">'2 Tri 2026'!$14:$17,'2 Tri 2026'!$47:$47,'2 Tri 2026'!$51:$51,'2 Tri 2026'!$95:$95,'2 Tri 2026'!$166:$166,'2 Tri 2026'!$200:$201,'2 Tri 2026'!$351:$351,'2 Tri 2026'!#REF!,'2 Tri 2026'!#REF!,'2 Tri 2026'!#REF!</definedName>
    <definedName name="Z_26DA5B32_7566_4E5C_94BD_406C7E00331A_.wvu.Rows" localSheetId="12" hidden="1">'3 Tri 2026'!$14:$17,'3 Tri 2026'!$47:$47,'3 Tri 2026'!$51:$51,'3 Tri 2026'!$95:$95,'3 Tri 2026'!$166:$166,'3 Tri 2026'!$200:$201,'3 Tri 2026'!$351:$351,'3 Tri 2026'!#REF!,'3 Tri 2026'!#REF!,'3 Tri 2026'!#REF!</definedName>
    <definedName name="Z_26DA5B32_7566_4E5C_94BD_406C7E00331A_.wvu.Rows" localSheetId="4" hidden="1">ABRIL!$14:$17,ABRIL!$47:$47,ABRIL!$51:$51,ABRIL!$95:$95,ABRIL!$181:$181,ABRIL!$231:$232,ABRIL!$351:$351,ABRIL!#REF!,ABRIL!#REF!,ABRIL!#REF!</definedName>
    <definedName name="Z_26DA5B32_7566_4E5C_94BD_406C7E00331A_.wvu.Rows" localSheetId="10" hidden="1">AGOSTO!$14:$26,AGOSTO!$47:$47,AGOSTO!$51:$51,AGOSTO!$95:$95,AGOSTO!$181:$181,AGOSTO!$231:$232,AGOSTO!$351:$351,AGOSTO!#REF!,AGOSTO!#REF!,AGOSTO!#REF!</definedName>
    <definedName name="Z_26DA5B32_7566_4E5C_94BD_406C7E00331A_.wvu.Rows" localSheetId="17" hidden="1">'Anual 2026'!$14:$17,'Anual 2026'!$47:$47,'Anual 2026'!$51:$51,'Anual 2026'!$95:$95,'Anual 2026'!$166:$166,'Anual 2026'!$200:$201,'Anual 2026'!$351:$351,'Anual 2026'!#REF!,'Anual 2026'!#REF!,'Anual 2026'!#REF!</definedName>
    <definedName name="Z_26DA5B32_7566_4E5C_94BD_406C7E00331A_.wvu.Rows" localSheetId="15" hidden="1">DEZEMBRO!$14:$17,DEZEMBRO!$47:$47,DEZEMBRO!$51:$51,DEZEMBRO!$95:$95,DEZEMBRO!$181:$181,DEZEMBRO!$231:$232,DEZEMBRO!$360:$360,DEZEMBRO!#REF!,DEZEMBRO!#REF!,DEZEMBRO!#REF!</definedName>
    <definedName name="Z_26DA5B32_7566_4E5C_94BD_406C7E00331A_.wvu.Rows" localSheetId="1" hidden="1">FEVEREIRO!$19:$26,FEVEREIRO!$47:$47,FEVEREIRO!$51:$51,FEVEREIRO!$95:$95,FEVEREIRO!$181:$181,FEVEREIRO!$231:$232,FEVEREIRO!$359:$359,FEVEREIRO!#REF!,FEVEREIRO!#REF!,FEVEREIRO!#REF!</definedName>
    <definedName name="Z_26DA5B32_7566_4E5C_94BD_406C7E00331A_.wvu.Rows" localSheetId="0" hidden="1">JANEIRO!$14:$25,JANEIRO!$47:$47,JANEIRO!$51:$51,JANEIRO!$95:$95,JANEIRO!$181:$181,JANEIRO!$231:$232,JANEIRO!#REF!,JANEIRO!#REF!,JANEIRO!#REF!,JANEIRO!#REF!</definedName>
    <definedName name="Z_26DA5B32_7566_4E5C_94BD_406C7E00331A_.wvu.Rows" localSheetId="9" hidden="1">JULHO!$14:$17,JULHO!$47:$47,JULHO!$51:$51,JULHO!$95:$95,JULHO!$181:$181,JULHO!$231:$232,JULHO!$351:$351,JULHO!#REF!,JULHO!#REF!,JULHO!#REF!</definedName>
    <definedName name="Z_26DA5B32_7566_4E5C_94BD_406C7E00331A_.wvu.Rows" localSheetId="6" hidden="1">JUNHO!$14:$17,JUNHO!$47:$47,JUNHO!$51:$51,JUNHO!$95:$95,JUNHO!$181:$181,JUNHO!$231:$232,JUNHO!$351:$351,JUNHO!#REF!,JUNHO!#REF!,JUNHO!#REF!</definedName>
    <definedName name="Z_26DA5B32_7566_4E5C_94BD_406C7E00331A_.wvu.Rows" localSheetId="5" hidden="1">MAIO!$14:$17,MAIO!$47:$47,MAIO!$51:$51,MAIO!$95:$95,MAIO!$181:$181,MAIO!$231:$232,MAIO!$351:$351,MAIO!#REF!,MAIO!#REF!,MAIO!#REF!</definedName>
    <definedName name="Z_26DA5B32_7566_4E5C_94BD_406C7E00331A_.wvu.Rows" localSheetId="2" hidden="1">MARÇO!$23:$26,MARÇO!$47:$47,MARÇO!$51:$51,MARÇO!$95:$95,MARÇO!$181:$181,MARÇO!$231:$232,MARÇO!$359:$359,MARÇO!#REF!,MARÇO!#REF!,MARÇO!#REF!</definedName>
    <definedName name="Z_26DA5B32_7566_4E5C_94BD_406C7E00331A_.wvu.Rows" localSheetId="14" hidden="1">NOVEMBRO!$14:$17,NOVEMBRO!$47:$47,NOVEMBRO!$51:$51,NOVEMBRO!$95:$95,NOVEMBRO!$181:$181,NOVEMBRO!$231:$232,NOVEMBRO!$360:$360,NOVEMBRO!#REF!,NOVEMBRO!#REF!,NOVEMBRO!#REF!</definedName>
    <definedName name="Z_26DA5B32_7566_4E5C_94BD_406C7E00331A_.wvu.Rows" localSheetId="13" hidden="1">OUTUBRO!$14:$17,OUTUBRO!$47:$47,OUTUBRO!$51:$51,OUTUBRO!$95:$95,OUTUBRO!$181:$181,OUTUBRO!$231:$232,OUTUBRO!$351:$351,OUTUBRO!#REF!,OUTUBRO!#REF!,OUTUBRO!#REF!</definedName>
    <definedName name="Z_26DA5B32_7566_4E5C_94BD_406C7E00331A_.wvu.Rows" localSheetId="11" hidden="1">SETEMBRO!$14:$17,SETEMBRO!$47:$47,SETEMBRO!$51:$51,SETEMBRO!$95:$95,SETEMBRO!$181:$181,SETEMBRO!$231:$232,SETEMBRO!$351:$351,SETEMBRO!#REF!,SETEMBRO!#REF!,SETEMBRO!#REF!</definedName>
  </definedNames>
  <calcPr calcId="191029"/>
  <customWorkbookViews>
    <customWorkbookView name="Alessandros - Modo de exibição pessoal" guid="{26DA5B32-7566-4E5C-94BD-406C7E00331A}" mergeInterval="0" personalView="1" maximized="1" xWindow="1" yWindow="1" windowWidth="1366" windowHeight="538" tabRatio="747" activeSheetId="1"/>
  </customWorkbookViews>
</workbook>
</file>

<file path=xl/calcChain.xml><?xml version="1.0" encoding="utf-8"?>
<calcChain xmlns="http://schemas.openxmlformats.org/spreadsheetml/2006/main">
  <c r="H361" i="36" l="1"/>
  <c r="H338" i="36"/>
  <c r="H339" i="36"/>
  <c r="H340" i="36"/>
  <c r="H341" i="36"/>
  <c r="H342" i="36"/>
  <c r="H343" i="36"/>
  <c r="H344" i="36"/>
  <c r="H345" i="36"/>
  <c r="H346" i="36"/>
  <c r="H347" i="36"/>
  <c r="H348" i="36"/>
  <c r="H349" i="36"/>
  <c r="H350" i="36"/>
  <c r="H351" i="36"/>
  <c r="H352" i="36"/>
  <c r="H353" i="36"/>
  <c r="H354" i="36"/>
  <c r="H355" i="36"/>
  <c r="H356" i="36"/>
  <c r="H357" i="36"/>
  <c r="H358" i="36"/>
  <c r="H359" i="36"/>
  <c r="H337" i="36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359" i="36" l="1"/>
  <c r="C98" i="36"/>
  <c r="C336" i="32" l="1"/>
  <c r="C359" i="32"/>
  <c r="C12" i="32"/>
  <c r="C24" i="32"/>
  <c r="C23" i="32"/>
  <c r="C21" i="32"/>
  <c r="C20" i="32"/>
  <c r="C19" i="32"/>
  <c r="C15" i="32"/>
  <c r="C13" i="32"/>
  <c r="C10" i="32"/>
  <c r="C6" i="32"/>
  <c r="C4" i="32"/>
  <c r="C3" i="32"/>
  <c r="C98" i="32"/>
  <c r="C95" i="32"/>
  <c r="C94" i="32"/>
  <c r="C146" i="32"/>
  <c r="C147" i="32"/>
  <c r="H145" i="32"/>
  <c r="C148" i="32"/>
  <c r="C149" i="32"/>
  <c r="C150" i="32"/>
  <c r="V336" i="33"/>
  <c r="V361" i="33" s="1"/>
  <c r="C360" i="33" l="1"/>
  <c r="D360" i="33"/>
  <c r="E360" i="33"/>
  <c r="O360" i="33" s="1"/>
  <c r="I360" i="33"/>
  <c r="J360" i="33"/>
  <c r="K360" i="33"/>
  <c r="L360" i="33"/>
  <c r="M360" i="33"/>
  <c r="N360" i="33"/>
  <c r="E37" i="33"/>
  <c r="E38" i="33"/>
  <c r="E39" i="33"/>
  <c r="E40" i="33"/>
  <c r="E41" i="33"/>
  <c r="E42" i="33"/>
  <c r="E43" i="33"/>
  <c r="E44" i="33"/>
  <c r="E45" i="33"/>
  <c r="E46" i="33"/>
  <c r="E47" i="33"/>
  <c r="E58" i="33"/>
  <c r="E59" i="33"/>
  <c r="E71" i="33"/>
  <c r="E83" i="33"/>
  <c r="E84" i="33"/>
  <c r="E87" i="33"/>
  <c r="E99" i="33"/>
  <c r="E124" i="33"/>
  <c r="E125" i="33"/>
  <c r="E126" i="33"/>
  <c r="E127" i="33"/>
  <c r="E128" i="33"/>
  <c r="E129" i="33"/>
  <c r="E130" i="33"/>
  <c r="E140" i="33"/>
  <c r="E141" i="33"/>
  <c r="E142" i="33"/>
  <c r="E143" i="33"/>
  <c r="E144" i="33"/>
  <c r="E166" i="33"/>
  <c r="E179" i="33"/>
  <c r="E180" i="33"/>
  <c r="E181" i="33"/>
  <c r="E210" i="33"/>
  <c r="E211" i="33"/>
  <c r="E213" i="33"/>
  <c r="E214" i="33"/>
  <c r="E229" i="33"/>
  <c r="E230" i="33"/>
  <c r="E234" i="33"/>
  <c r="E235" i="33"/>
  <c r="E244" i="33"/>
  <c r="E245" i="33"/>
  <c r="E246" i="33"/>
  <c r="E247" i="33"/>
  <c r="E258" i="33"/>
  <c r="E259" i="33"/>
  <c r="E260" i="33"/>
  <c r="E272" i="33"/>
  <c r="E278" i="33"/>
  <c r="E279" i="33"/>
  <c r="E280" i="33"/>
  <c r="E281" i="33"/>
  <c r="E282" i="33"/>
  <c r="E283" i="33"/>
  <c r="E284" i="33"/>
  <c r="E285" i="33"/>
  <c r="E286" i="33"/>
  <c r="E287" i="33"/>
  <c r="E288" i="33"/>
  <c r="E289" i="33"/>
  <c r="E290" i="33"/>
  <c r="E291" i="33"/>
  <c r="E292" i="33"/>
  <c r="E293" i="33"/>
  <c r="E306" i="33"/>
  <c r="E307" i="33"/>
  <c r="E308" i="33"/>
  <c r="E309" i="33"/>
  <c r="E310" i="33"/>
  <c r="E311" i="33"/>
  <c r="E312" i="33"/>
  <c r="E313" i="33"/>
  <c r="E314" i="33"/>
  <c r="E321" i="33"/>
  <c r="E327" i="33"/>
  <c r="E328" i="33"/>
  <c r="E329" i="33"/>
  <c r="E337" i="33"/>
  <c r="E338" i="33"/>
  <c r="E339" i="33"/>
  <c r="E340" i="33"/>
  <c r="E341" i="33"/>
  <c r="E342" i="33"/>
  <c r="E343" i="33"/>
  <c r="E344" i="33"/>
  <c r="E345" i="33"/>
  <c r="E346" i="33"/>
  <c r="E347" i="33"/>
  <c r="E348" i="33"/>
  <c r="E349" i="33"/>
  <c r="E350" i="33"/>
  <c r="E351" i="33"/>
  <c r="E352" i="33"/>
  <c r="E353" i="33"/>
  <c r="E354" i="33"/>
  <c r="E355" i="33"/>
  <c r="E356" i="33"/>
  <c r="E357" i="33"/>
  <c r="E358" i="33"/>
  <c r="C359" i="31"/>
  <c r="C25" i="32" s="1"/>
  <c r="J322" i="31"/>
  <c r="J315" i="31"/>
  <c r="J294" i="31"/>
  <c r="J273" i="31"/>
  <c r="J261" i="31"/>
  <c r="J248" i="31"/>
  <c r="J239" i="31"/>
  <c r="J231" i="31"/>
  <c r="J200" i="31"/>
  <c r="J182" i="31"/>
  <c r="J167" i="31"/>
  <c r="J145" i="31"/>
  <c r="J131" i="31"/>
  <c r="J100" i="31"/>
  <c r="J88" i="31"/>
  <c r="J70" i="31"/>
  <c r="C98" i="31"/>
  <c r="E98" i="33" s="1"/>
  <c r="I35" i="31"/>
  <c r="I34" i="30"/>
  <c r="C34" i="30"/>
  <c r="C206" i="30"/>
  <c r="E359" i="33" l="1"/>
  <c r="J236" i="31"/>
  <c r="J330" i="31"/>
  <c r="J238" i="31"/>
  <c r="C146" i="30"/>
  <c r="C359" i="30"/>
  <c r="C364" i="30" s="1"/>
  <c r="C98" i="30"/>
  <c r="H88" i="30"/>
  <c r="H100" i="30"/>
  <c r="H131" i="30"/>
  <c r="H145" i="30"/>
  <c r="H167" i="30"/>
  <c r="H182" i="30"/>
  <c r="H200" i="30"/>
  <c r="H212" i="30"/>
  <c r="H294" i="30"/>
  <c r="C101" i="1"/>
  <c r="C336" i="30" l="1"/>
  <c r="I29" i="1"/>
  <c r="I28" i="1" s="1"/>
  <c r="C359" i="1"/>
  <c r="C336" i="1" s="1"/>
  <c r="H359" i="1"/>
  <c r="C53" i="1" l="1"/>
  <c r="J322" i="48"/>
  <c r="I322" i="48"/>
  <c r="H322" i="48"/>
  <c r="J315" i="48"/>
  <c r="I315" i="48"/>
  <c r="H315" i="48"/>
  <c r="J294" i="48"/>
  <c r="I294" i="48"/>
  <c r="H294" i="48"/>
  <c r="J273" i="48"/>
  <c r="I273" i="48"/>
  <c r="H273" i="48"/>
  <c r="J261" i="48"/>
  <c r="I261" i="48"/>
  <c r="H261" i="48"/>
  <c r="J248" i="48"/>
  <c r="I248" i="48"/>
  <c r="H248" i="48"/>
  <c r="J239" i="48"/>
  <c r="J238" i="48" s="1"/>
  <c r="I239" i="48"/>
  <c r="I238" i="48" s="1"/>
  <c r="H239" i="48"/>
  <c r="J231" i="48"/>
  <c r="I231" i="48"/>
  <c r="H231" i="48"/>
  <c r="H212" i="48"/>
  <c r="J200" i="48"/>
  <c r="I200" i="48"/>
  <c r="H200" i="48"/>
  <c r="J182" i="48"/>
  <c r="I182" i="48"/>
  <c r="H182" i="48"/>
  <c r="J167" i="48"/>
  <c r="I167" i="48"/>
  <c r="H167" i="48"/>
  <c r="J145" i="48"/>
  <c r="I145" i="48"/>
  <c r="H145" i="48"/>
  <c r="J131" i="48"/>
  <c r="I131" i="48"/>
  <c r="H131" i="48"/>
  <c r="J100" i="48"/>
  <c r="I100" i="48"/>
  <c r="H100" i="48"/>
  <c r="J88" i="48"/>
  <c r="I88" i="48"/>
  <c r="H88" i="48"/>
  <c r="J70" i="48"/>
  <c r="I70" i="48"/>
  <c r="H70" i="48"/>
  <c r="J60" i="48"/>
  <c r="I60" i="48"/>
  <c r="H60" i="48"/>
  <c r="J52" i="48"/>
  <c r="I52" i="48"/>
  <c r="H52" i="48"/>
  <c r="H85" i="48" s="1"/>
  <c r="J48" i="48"/>
  <c r="I48" i="48"/>
  <c r="H48" i="48"/>
  <c r="J28" i="48"/>
  <c r="I28" i="48"/>
  <c r="H28" i="48"/>
  <c r="H27" i="48" s="1"/>
  <c r="J322" i="45"/>
  <c r="I322" i="45"/>
  <c r="H322" i="45"/>
  <c r="J315" i="45"/>
  <c r="I315" i="45"/>
  <c r="H315" i="45"/>
  <c r="J294" i="45"/>
  <c r="I294" i="45"/>
  <c r="H294" i="45"/>
  <c r="J273" i="45"/>
  <c r="I273" i="45"/>
  <c r="H273" i="45"/>
  <c r="J261" i="45"/>
  <c r="I261" i="45"/>
  <c r="H261" i="45"/>
  <c r="J248" i="45"/>
  <c r="I248" i="45"/>
  <c r="H248" i="45"/>
  <c r="J239" i="45"/>
  <c r="I239" i="45"/>
  <c r="H239" i="45"/>
  <c r="J231" i="45"/>
  <c r="I231" i="45"/>
  <c r="H231" i="45"/>
  <c r="H212" i="45"/>
  <c r="J200" i="45"/>
  <c r="I200" i="45"/>
  <c r="H200" i="45"/>
  <c r="J182" i="45"/>
  <c r="I182" i="45"/>
  <c r="H182" i="45"/>
  <c r="J167" i="45"/>
  <c r="I167" i="45"/>
  <c r="H167" i="45"/>
  <c r="J145" i="45"/>
  <c r="I145" i="45"/>
  <c r="H145" i="45"/>
  <c r="J131" i="45"/>
  <c r="I131" i="45"/>
  <c r="H131" i="45"/>
  <c r="J100" i="45"/>
  <c r="I100" i="45"/>
  <c r="H100" i="45"/>
  <c r="J88" i="45"/>
  <c r="I88" i="45"/>
  <c r="H88" i="45"/>
  <c r="J70" i="45"/>
  <c r="I70" i="45"/>
  <c r="H70" i="45"/>
  <c r="J60" i="45"/>
  <c r="I60" i="45"/>
  <c r="H60" i="45"/>
  <c r="J52" i="45"/>
  <c r="I52" i="45"/>
  <c r="H52" i="45"/>
  <c r="J48" i="45"/>
  <c r="I48" i="45"/>
  <c r="H48" i="45"/>
  <c r="J28" i="45"/>
  <c r="I28" i="45"/>
  <c r="H28" i="45"/>
  <c r="H27" i="45" s="1"/>
  <c r="J322" i="44"/>
  <c r="I322" i="44"/>
  <c r="H322" i="44"/>
  <c r="J315" i="44"/>
  <c r="I315" i="44"/>
  <c r="H315" i="44"/>
  <c r="J294" i="44"/>
  <c r="I294" i="44"/>
  <c r="H294" i="44"/>
  <c r="J273" i="44"/>
  <c r="I273" i="44"/>
  <c r="H273" i="44"/>
  <c r="J261" i="44"/>
  <c r="J238" i="44" s="1"/>
  <c r="I261" i="44"/>
  <c r="H261" i="44"/>
  <c r="J248" i="44"/>
  <c r="I248" i="44"/>
  <c r="H248" i="44"/>
  <c r="J239" i="44"/>
  <c r="I239" i="44"/>
  <c r="H239" i="44"/>
  <c r="J231" i="44"/>
  <c r="I231" i="44"/>
  <c r="H231" i="44"/>
  <c r="H212" i="44"/>
  <c r="J200" i="44"/>
  <c r="I200" i="44"/>
  <c r="H200" i="44"/>
  <c r="J182" i="44"/>
  <c r="I182" i="44"/>
  <c r="H182" i="44"/>
  <c r="J167" i="44"/>
  <c r="I167" i="44"/>
  <c r="H167" i="44"/>
  <c r="J145" i="44"/>
  <c r="I145" i="44"/>
  <c r="H145" i="44"/>
  <c r="J131" i="44"/>
  <c r="I131" i="44"/>
  <c r="H131" i="44"/>
  <c r="J100" i="44"/>
  <c r="I100" i="44"/>
  <c r="H100" i="44"/>
  <c r="J88" i="44"/>
  <c r="I88" i="44"/>
  <c r="H88" i="44"/>
  <c r="J70" i="44"/>
  <c r="I70" i="44"/>
  <c r="H70" i="44"/>
  <c r="J60" i="44"/>
  <c r="I60" i="44"/>
  <c r="H60" i="44"/>
  <c r="J52" i="44"/>
  <c r="I52" i="44"/>
  <c r="H52" i="44"/>
  <c r="J48" i="44"/>
  <c r="I48" i="44"/>
  <c r="H48" i="44"/>
  <c r="J28" i="44"/>
  <c r="I28" i="44"/>
  <c r="H28" i="44"/>
  <c r="H27" i="44" s="1"/>
  <c r="J322" i="41"/>
  <c r="I322" i="41"/>
  <c r="H322" i="41"/>
  <c r="J315" i="41"/>
  <c r="I315" i="41"/>
  <c r="H315" i="41"/>
  <c r="J294" i="41"/>
  <c r="I294" i="41"/>
  <c r="H294" i="41"/>
  <c r="J273" i="41"/>
  <c r="I273" i="41"/>
  <c r="H273" i="41"/>
  <c r="H330" i="41" s="1"/>
  <c r="J261" i="41"/>
  <c r="I261" i="41"/>
  <c r="H261" i="41"/>
  <c r="J248" i="41"/>
  <c r="J238" i="41" s="1"/>
  <c r="I248" i="41"/>
  <c r="H248" i="41"/>
  <c r="J239" i="41"/>
  <c r="I239" i="41"/>
  <c r="I238" i="41" s="1"/>
  <c r="H239" i="41"/>
  <c r="H238" i="41" s="1"/>
  <c r="J231" i="41"/>
  <c r="I231" i="41"/>
  <c r="H231" i="41"/>
  <c r="H212" i="41"/>
  <c r="J200" i="41"/>
  <c r="I200" i="41"/>
  <c r="H200" i="41"/>
  <c r="J182" i="41"/>
  <c r="I182" i="41"/>
  <c r="H182" i="41"/>
  <c r="J167" i="41"/>
  <c r="I167" i="41"/>
  <c r="H167" i="41"/>
  <c r="J145" i="41"/>
  <c r="I145" i="41"/>
  <c r="H145" i="41"/>
  <c r="J131" i="41"/>
  <c r="I131" i="41"/>
  <c r="H131" i="41"/>
  <c r="J100" i="41"/>
  <c r="I100" i="41"/>
  <c r="H100" i="41"/>
  <c r="J88" i="41"/>
  <c r="I88" i="41"/>
  <c r="H88" i="41"/>
  <c r="J70" i="41"/>
  <c r="I70" i="41"/>
  <c r="H70" i="41"/>
  <c r="J60" i="41"/>
  <c r="I60" i="41"/>
  <c r="H60" i="41"/>
  <c r="J52" i="41"/>
  <c r="I52" i="41"/>
  <c r="H52" i="41"/>
  <c r="J48" i="41"/>
  <c r="I48" i="41"/>
  <c r="H48" i="41"/>
  <c r="J28" i="41"/>
  <c r="I28" i="41"/>
  <c r="H28" i="41"/>
  <c r="J322" i="40"/>
  <c r="I322" i="40"/>
  <c r="H322" i="40"/>
  <c r="J315" i="40"/>
  <c r="I315" i="40"/>
  <c r="H315" i="40"/>
  <c r="J294" i="40"/>
  <c r="I294" i="40"/>
  <c r="H294" i="40"/>
  <c r="J273" i="40"/>
  <c r="I273" i="40"/>
  <c r="H273" i="40"/>
  <c r="J261" i="40"/>
  <c r="I261" i="40"/>
  <c r="H261" i="40"/>
  <c r="J248" i="40"/>
  <c r="I248" i="40"/>
  <c r="H248" i="40"/>
  <c r="J239" i="40"/>
  <c r="I239" i="40"/>
  <c r="H239" i="40"/>
  <c r="J231" i="40"/>
  <c r="I231" i="40"/>
  <c r="H231" i="40"/>
  <c r="H212" i="40"/>
  <c r="J200" i="40"/>
  <c r="I200" i="40"/>
  <c r="H200" i="40"/>
  <c r="J182" i="40"/>
  <c r="I182" i="40"/>
  <c r="H182" i="40"/>
  <c r="J167" i="40"/>
  <c r="I167" i="40"/>
  <c r="H167" i="40"/>
  <c r="J145" i="40"/>
  <c r="I145" i="40"/>
  <c r="H145" i="40"/>
  <c r="J131" i="40"/>
  <c r="I131" i="40"/>
  <c r="H131" i="40"/>
  <c r="J100" i="40"/>
  <c r="I100" i="40"/>
  <c r="H100" i="40"/>
  <c r="J88" i="40"/>
  <c r="I88" i="40"/>
  <c r="H88" i="40"/>
  <c r="J70" i="40"/>
  <c r="I70" i="40"/>
  <c r="H70" i="40"/>
  <c r="J60" i="40"/>
  <c r="I60" i="40"/>
  <c r="H60" i="40"/>
  <c r="J52" i="40"/>
  <c r="I52" i="40"/>
  <c r="H52" i="40"/>
  <c r="J48" i="40"/>
  <c r="I48" i="40"/>
  <c r="H48" i="40"/>
  <c r="J28" i="40"/>
  <c r="I28" i="40"/>
  <c r="H28" i="40"/>
  <c r="J322" i="39"/>
  <c r="I322" i="39"/>
  <c r="H322" i="39"/>
  <c r="J315" i="39"/>
  <c r="I315" i="39"/>
  <c r="H315" i="39"/>
  <c r="J294" i="39"/>
  <c r="I294" i="39"/>
  <c r="H294" i="39"/>
  <c r="J273" i="39"/>
  <c r="I273" i="39"/>
  <c r="H273" i="39"/>
  <c r="J261" i="39"/>
  <c r="I261" i="39"/>
  <c r="H261" i="39"/>
  <c r="J248" i="39"/>
  <c r="I248" i="39"/>
  <c r="H248" i="39"/>
  <c r="J239" i="39"/>
  <c r="I239" i="39"/>
  <c r="H239" i="39"/>
  <c r="J231" i="39"/>
  <c r="I231" i="39"/>
  <c r="H231" i="39"/>
  <c r="H212" i="39"/>
  <c r="J200" i="39"/>
  <c r="I200" i="39"/>
  <c r="H200" i="39"/>
  <c r="J182" i="39"/>
  <c r="I182" i="39"/>
  <c r="H182" i="39"/>
  <c r="J167" i="39"/>
  <c r="I167" i="39"/>
  <c r="H167" i="39"/>
  <c r="J145" i="39"/>
  <c r="I145" i="39"/>
  <c r="H145" i="39"/>
  <c r="J131" i="39"/>
  <c r="I131" i="39"/>
  <c r="H131" i="39"/>
  <c r="J100" i="39"/>
  <c r="I100" i="39"/>
  <c r="H100" i="39"/>
  <c r="J88" i="39"/>
  <c r="I88" i="39"/>
  <c r="H88" i="39"/>
  <c r="J70" i="39"/>
  <c r="I70" i="39"/>
  <c r="H70" i="39"/>
  <c r="J60" i="39"/>
  <c r="I60" i="39"/>
  <c r="H60" i="39"/>
  <c r="J52" i="39"/>
  <c r="I52" i="39"/>
  <c r="H52" i="39"/>
  <c r="J48" i="39"/>
  <c r="I48" i="39"/>
  <c r="H48" i="39"/>
  <c r="J28" i="39"/>
  <c r="I28" i="39"/>
  <c r="H28" i="39"/>
  <c r="J322" i="38"/>
  <c r="I322" i="38"/>
  <c r="H322" i="38"/>
  <c r="J315" i="38"/>
  <c r="I315" i="38"/>
  <c r="H315" i="38"/>
  <c r="J294" i="38"/>
  <c r="I294" i="38"/>
  <c r="H294" i="38"/>
  <c r="J273" i="38"/>
  <c r="I273" i="38"/>
  <c r="H273" i="38"/>
  <c r="J261" i="38"/>
  <c r="I261" i="38"/>
  <c r="H261" i="38"/>
  <c r="J248" i="38"/>
  <c r="I248" i="38"/>
  <c r="H248" i="38"/>
  <c r="J239" i="38"/>
  <c r="I239" i="38"/>
  <c r="H239" i="38"/>
  <c r="J231" i="38"/>
  <c r="I231" i="38"/>
  <c r="H231" i="38"/>
  <c r="H212" i="38"/>
  <c r="J200" i="38"/>
  <c r="I200" i="38"/>
  <c r="H200" i="38"/>
  <c r="J182" i="38"/>
  <c r="I182" i="38"/>
  <c r="H182" i="38"/>
  <c r="J167" i="38"/>
  <c r="I167" i="38"/>
  <c r="H167" i="38"/>
  <c r="J145" i="38"/>
  <c r="I145" i="38"/>
  <c r="H145" i="38"/>
  <c r="J131" i="38"/>
  <c r="I131" i="38"/>
  <c r="H131" i="38"/>
  <c r="J100" i="38"/>
  <c r="I100" i="38"/>
  <c r="H100" i="38"/>
  <c r="J88" i="38"/>
  <c r="I88" i="38"/>
  <c r="H88" i="38"/>
  <c r="J70" i="38"/>
  <c r="I70" i="38"/>
  <c r="H70" i="38"/>
  <c r="J60" i="38"/>
  <c r="I60" i="38"/>
  <c r="H60" i="38"/>
  <c r="J52" i="38"/>
  <c r="I52" i="38"/>
  <c r="H52" i="38"/>
  <c r="J48" i="38"/>
  <c r="I48" i="38"/>
  <c r="H48" i="38"/>
  <c r="J28" i="38"/>
  <c r="I28" i="38"/>
  <c r="H28" i="38"/>
  <c r="H27" i="38" s="1"/>
  <c r="J322" i="36"/>
  <c r="I322" i="36"/>
  <c r="H322" i="36"/>
  <c r="J315" i="36"/>
  <c r="I315" i="36"/>
  <c r="H315" i="36"/>
  <c r="J294" i="36"/>
  <c r="I294" i="36"/>
  <c r="H294" i="36"/>
  <c r="J273" i="36"/>
  <c r="I273" i="36"/>
  <c r="H273" i="36"/>
  <c r="J261" i="36"/>
  <c r="I261" i="36"/>
  <c r="H261" i="36"/>
  <c r="J248" i="36"/>
  <c r="I248" i="36"/>
  <c r="H248" i="36"/>
  <c r="J239" i="36"/>
  <c r="I239" i="36"/>
  <c r="H239" i="36"/>
  <c r="J231" i="36"/>
  <c r="I231" i="36"/>
  <c r="H231" i="36"/>
  <c r="H212" i="36"/>
  <c r="J200" i="36"/>
  <c r="I200" i="36"/>
  <c r="H200" i="36"/>
  <c r="J182" i="36"/>
  <c r="I182" i="36"/>
  <c r="H182" i="36"/>
  <c r="J167" i="36"/>
  <c r="I167" i="36"/>
  <c r="H167" i="36"/>
  <c r="J145" i="36"/>
  <c r="I145" i="36"/>
  <c r="H145" i="36"/>
  <c r="J131" i="36"/>
  <c r="I131" i="36"/>
  <c r="H131" i="36"/>
  <c r="J100" i="36"/>
  <c r="I100" i="36"/>
  <c r="H100" i="36"/>
  <c r="J88" i="36"/>
  <c r="I88" i="36"/>
  <c r="H88" i="36"/>
  <c r="J70" i="36"/>
  <c r="I70" i="36"/>
  <c r="H70" i="36"/>
  <c r="J60" i="36"/>
  <c r="I60" i="36"/>
  <c r="H60" i="36"/>
  <c r="J52" i="36"/>
  <c r="I52" i="36"/>
  <c r="H52" i="36"/>
  <c r="J48" i="36"/>
  <c r="I48" i="36"/>
  <c r="H48" i="36"/>
  <c r="J28" i="36"/>
  <c r="I28" i="36"/>
  <c r="H28" i="36"/>
  <c r="J322" i="32"/>
  <c r="I322" i="32"/>
  <c r="H322" i="32"/>
  <c r="J315" i="32"/>
  <c r="I315" i="32"/>
  <c r="H315" i="32"/>
  <c r="J294" i="32"/>
  <c r="I294" i="32"/>
  <c r="H294" i="32"/>
  <c r="J273" i="32"/>
  <c r="I273" i="32"/>
  <c r="H273" i="32"/>
  <c r="J261" i="32"/>
  <c r="I261" i="32"/>
  <c r="H261" i="32"/>
  <c r="J248" i="32"/>
  <c r="I248" i="32"/>
  <c r="H248" i="32"/>
  <c r="J239" i="32"/>
  <c r="I239" i="32"/>
  <c r="H239" i="32"/>
  <c r="J231" i="32"/>
  <c r="I231" i="32"/>
  <c r="H231" i="32"/>
  <c r="H212" i="32"/>
  <c r="J200" i="32"/>
  <c r="I200" i="32"/>
  <c r="H200" i="32"/>
  <c r="J182" i="32"/>
  <c r="I182" i="32"/>
  <c r="H182" i="32"/>
  <c r="J167" i="32"/>
  <c r="I167" i="32"/>
  <c r="H167" i="32"/>
  <c r="J145" i="32"/>
  <c r="I145" i="32"/>
  <c r="J131" i="32"/>
  <c r="I131" i="32"/>
  <c r="H131" i="32"/>
  <c r="J100" i="32"/>
  <c r="I100" i="32"/>
  <c r="H100" i="32"/>
  <c r="J88" i="32"/>
  <c r="I88" i="32"/>
  <c r="H88" i="32"/>
  <c r="J70" i="32"/>
  <c r="I70" i="32"/>
  <c r="H70" i="32"/>
  <c r="J60" i="32"/>
  <c r="I60" i="32"/>
  <c r="H60" i="32"/>
  <c r="J52" i="32"/>
  <c r="I52" i="32"/>
  <c r="H52" i="32"/>
  <c r="J48" i="32"/>
  <c r="I48" i="32"/>
  <c r="H48" i="32"/>
  <c r="J28" i="32"/>
  <c r="I28" i="32"/>
  <c r="H28" i="32"/>
  <c r="I322" i="31"/>
  <c r="H322" i="31"/>
  <c r="I315" i="31"/>
  <c r="H315" i="31"/>
  <c r="I294" i="31"/>
  <c r="H294" i="31"/>
  <c r="I273" i="31"/>
  <c r="H273" i="31"/>
  <c r="I261" i="31"/>
  <c r="H261" i="31"/>
  <c r="I248" i="31"/>
  <c r="H248" i="31"/>
  <c r="I239" i="31"/>
  <c r="H239" i="31"/>
  <c r="I231" i="31"/>
  <c r="H231" i="31"/>
  <c r="H212" i="31"/>
  <c r="I200" i="31"/>
  <c r="H200" i="31"/>
  <c r="I182" i="31"/>
  <c r="H182" i="31"/>
  <c r="I167" i="31"/>
  <c r="H167" i="31"/>
  <c r="I145" i="31"/>
  <c r="H145" i="31"/>
  <c r="I131" i="31"/>
  <c r="H131" i="31"/>
  <c r="I100" i="31"/>
  <c r="H100" i="31"/>
  <c r="I88" i="31"/>
  <c r="H88" i="31"/>
  <c r="I70" i="31"/>
  <c r="H70" i="31"/>
  <c r="J60" i="31"/>
  <c r="I60" i="31"/>
  <c r="H60" i="31"/>
  <c r="J52" i="31"/>
  <c r="J85" i="31" s="1"/>
  <c r="I52" i="31"/>
  <c r="H52" i="31"/>
  <c r="J48" i="31"/>
  <c r="I48" i="31"/>
  <c r="H48" i="31"/>
  <c r="J28" i="31"/>
  <c r="I28" i="31"/>
  <c r="H28" i="31"/>
  <c r="J322" i="30"/>
  <c r="I322" i="30"/>
  <c r="H322" i="30"/>
  <c r="J315" i="30"/>
  <c r="I315" i="30"/>
  <c r="H315" i="30"/>
  <c r="J294" i="30"/>
  <c r="I294" i="30"/>
  <c r="J273" i="30"/>
  <c r="I273" i="30"/>
  <c r="H273" i="30"/>
  <c r="J261" i="30"/>
  <c r="I261" i="30"/>
  <c r="H261" i="30"/>
  <c r="J248" i="30"/>
  <c r="I248" i="30"/>
  <c r="H248" i="30"/>
  <c r="J239" i="30"/>
  <c r="J238" i="30" s="1"/>
  <c r="I239" i="30"/>
  <c r="H239" i="30"/>
  <c r="J231" i="30"/>
  <c r="I231" i="30"/>
  <c r="H231" i="30"/>
  <c r="J200" i="30"/>
  <c r="I200" i="30"/>
  <c r="J182" i="30"/>
  <c r="I182" i="30"/>
  <c r="J167" i="30"/>
  <c r="I167" i="30"/>
  <c r="J145" i="30"/>
  <c r="I145" i="30"/>
  <c r="J131" i="30"/>
  <c r="I131" i="30"/>
  <c r="J100" i="30"/>
  <c r="I100" i="30"/>
  <c r="J88" i="30"/>
  <c r="I88" i="30"/>
  <c r="J70" i="30"/>
  <c r="I70" i="30"/>
  <c r="H70" i="30"/>
  <c r="J60" i="30"/>
  <c r="I60" i="30"/>
  <c r="H60" i="30"/>
  <c r="J52" i="30"/>
  <c r="I52" i="30"/>
  <c r="H52" i="30"/>
  <c r="J48" i="30"/>
  <c r="I48" i="30"/>
  <c r="H48" i="30"/>
  <c r="J28" i="30"/>
  <c r="I28" i="30"/>
  <c r="H28" i="30"/>
  <c r="H27" i="30" s="1"/>
  <c r="J85" i="39" l="1"/>
  <c r="I85" i="40"/>
  <c r="H85" i="41"/>
  <c r="I85" i="38"/>
  <c r="J238" i="38"/>
  <c r="J85" i="40"/>
  <c r="H238" i="40"/>
  <c r="H236" i="41"/>
  <c r="H333" i="41" s="1"/>
  <c r="H27" i="32"/>
  <c r="H27" i="36"/>
  <c r="J85" i="32"/>
  <c r="I236" i="32"/>
  <c r="H238" i="32"/>
  <c r="H85" i="32"/>
  <c r="I238" i="32"/>
  <c r="H330" i="32"/>
  <c r="I236" i="36"/>
  <c r="H238" i="36"/>
  <c r="H334" i="36" s="1"/>
  <c r="J85" i="38"/>
  <c r="H236" i="38"/>
  <c r="J238" i="39"/>
  <c r="J334" i="39" s="1"/>
  <c r="J236" i="40"/>
  <c r="I238" i="40"/>
  <c r="I236" i="41"/>
  <c r="I330" i="41"/>
  <c r="I236" i="45"/>
  <c r="I85" i="48"/>
  <c r="I238" i="30"/>
  <c r="I334" i="30" s="1"/>
  <c r="I85" i="32"/>
  <c r="J238" i="32"/>
  <c r="I330" i="32"/>
  <c r="J236" i="36"/>
  <c r="I238" i="38"/>
  <c r="I334" i="38" s="1"/>
  <c r="I85" i="39"/>
  <c r="H85" i="40"/>
  <c r="J238" i="40"/>
  <c r="J334" i="40" s="1"/>
  <c r="J330" i="41"/>
  <c r="H238" i="44"/>
  <c r="J238" i="45"/>
  <c r="J85" i="48"/>
  <c r="I236" i="48"/>
  <c r="H238" i="48"/>
  <c r="H330" i="38"/>
  <c r="H27" i="39"/>
  <c r="H236" i="40"/>
  <c r="I238" i="31"/>
  <c r="I334" i="31" s="1"/>
  <c r="H238" i="31"/>
  <c r="H27" i="31"/>
  <c r="I236" i="31"/>
  <c r="I330" i="31"/>
  <c r="I334" i="32"/>
  <c r="J236" i="39"/>
  <c r="J333" i="39" s="1"/>
  <c r="H238" i="39"/>
  <c r="H334" i="39" s="1"/>
  <c r="I330" i="40"/>
  <c r="I334" i="41"/>
  <c r="I85" i="45"/>
  <c r="I238" i="45"/>
  <c r="I330" i="48"/>
  <c r="H85" i="31"/>
  <c r="J333" i="31"/>
  <c r="J334" i="32"/>
  <c r="H85" i="39"/>
  <c r="I238" i="39"/>
  <c r="I334" i="39" s="1"/>
  <c r="I236" i="40"/>
  <c r="I333" i="40" s="1"/>
  <c r="J330" i="40"/>
  <c r="J333" i="40" s="1"/>
  <c r="J334" i="41"/>
  <c r="J85" i="45"/>
  <c r="J236" i="48"/>
  <c r="J330" i="48"/>
  <c r="J236" i="30"/>
  <c r="J236" i="32"/>
  <c r="J330" i="32"/>
  <c r="H330" i="36"/>
  <c r="J236" i="41"/>
  <c r="J334" i="44"/>
  <c r="I85" i="31"/>
  <c r="H236" i="36"/>
  <c r="I330" i="36"/>
  <c r="H236" i="44"/>
  <c r="H330" i="44"/>
  <c r="I85" i="41"/>
  <c r="I236" i="44"/>
  <c r="I330" i="44"/>
  <c r="I334" i="45"/>
  <c r="H236" i="32"/>
  <c r="J236" i="44"/>
  <c r="J330" i="44"/>
  <c r="J334" i="45"/>
  <c r="H334" i="31"/>
  <c r="I330" i="30"/>
  <c r="I238" i="36"/>
  <c r="I334" i="36" s="1"/>
  <c r="I236" i="38"/>
  <c r="I330" i="38"/>
  <c r="H85" i="44"/>
  <c r="H236" i="45"/>
  <c r="H330" i="45"/>
  <c r="J334" i="38"/>
  <c r="J330" i="30"/>
  <c r="I85" i="36"/>
  <c r="J238" i="36"/>
  <c r="J334" i="36" s="1"/>
  <c r="J236" i="38"/>
  <c r="J330" i="38"/>
  <c r="H330" i="39"/>
  <c r="I85" i="44"/>
  <c r="I238" i="44"/>
  <c r="I330" i="45"/>
  <c r="I334" i="48"/>
  <c r="J330" i="36"/>
  <c r="J334" i="31"/>
  <c r="J85" i="36"/>
  <c r="H85" i="38"/>
  <c r="H238" i="38"/>
  <c r="H334" i="38" s="1"/>
  <c r="H236" i="39"/>
  <c r="I330" i="39"/>
  <c r="I334" i="40"/>
  <c r="J85" i="41"/>
  <c r="J85" i="44"/>
  <c r="J236" i="45"/>
  <c r="J330" i="45"/>
  <c r="J334" i="48"/>
  <c r="I334" i="44"/>
  <c r="H236" i="31"/>
  <c r="H330" i="31"/>
  <c r="H85" i="36"/>
  <c r="I236" i="39"/>
  <c r="J330" i="39"/>
  <c r="H330" i="40"/>
  <c r="H27" i="41"/>
  <c r="H85" i="45"/>
  <c r="H238" i="45"/>
  <c r="H236" i="48"/>
  <c r="H330" i="48"/>
  <c r="J334" i="30"/>
  <c r="I236" i="30"/>
  <c r="I85" i="30"/>
  <c r="J85" i="30"/>
  <c r="H330" i="30"/>
  <c r="H238" i="30"/>
  <c r="H334" i="30" s="1"/>
  <c r="H236" i="30"/>
  <c r="H85" i="30"/>
  <c r="H334" i="48"/>
  <c r="H334" i="45"/>
  <c r="H334" i="44"/>
  <c r="H334" i="41"/>
  <c r="H335" i="41" s="1"/>
  <c r="H334" i="40"/>
  <c r="H27" i="40"/>
  <c r="I333" i="39"/>
  <c r="H334" i="32"/>
  <c r="T73" i="47"/>
  <c r="C363" i="48"/>
  <c r="C363" i="45"/>
  <c r="G36" i="48"/>
  <c r="C336" i="48"/>
  <c r="C336" i="45"/>
  <c r="C96" i="48"/>
  <c r="C97" i="48"/>
  <c r="C98" i="48"/>
  <c r="C99" i="48"/>
  <c r="C65" i="44"/>
  <c r="C61" i="44"/>
  <c r="C61" i="41"/>
  <c r="C65" i="41"/>
  <c r="H335" i="40" l="1"/>
  <c r="J333" i="44"/>
  <c r="I333" i="38"/>
  <c r="H335" i="30"/>
  <c r="H333" i="38"/>
  <c r="J333" i="48"/>
  <c r="H333" i="40"/>
  <c r="I333" i="48"/>
  <c r="H333" i="36"/>
  <c r="H335" i="32"/>
  <c r="J333" i="32"/>
  <c r="I333" i="32"/>
  <c r="H333" i="32"/>
  <c r="H335" i="38"/>
  <c r="J333" i="38"/>
  <c r="I333" i="45"/>
  <c r="J333" i="41"/>
  <c r="J333" i="30"/>
  <c r="H333" i="48"/>
  <c r="J333" i="36"/>
  <c r="I333" i="36"/>
  <c r="I333" i="41"/>
  <c r="H335" i="31"/>
  <c r="I333" i="31"/>
  <c r="H333" i="31"/>
  <c r="I333" i="44"/>
  <c r="H333" i="44"/>
  <c r="J333" i="45"/>
  <c r="H335" i="44"/>
  <c r="H333" i="39"/>
  <c r="H335" i="45"/>
  <c r="H335" i="48"/>
  <c r="H335" i="39"/>
  <c r="H333" i="45"/>
  <c r="I333" i="30"/>
  <c r="H333" i="30"/>
  <c r="C4" i="45"/>
  <c r="C5" i="45"/>
  <c r="C6" i="45"/>
  <c r="C7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336" i="44"/>
  <c r="C4" i="48" l="1"/>
  <c r="C5" i="48"/>
  <c r="C6" i="48"/>
  <c r="C7" i="48"/>
  <c r="C8" i="48"/>
  <c r="C9" i="48"/>
  <c r="C10" i="48"/>
  <c r="C11" i="48"/>
  <c r="C12" i="48"/>
  <c r="C13" i="48"/>
  <c r="C14" i="48"/>
  <c r="C15" i="48"/>
  <c r="C16" i="48"/>
  <c r="C17" i="48"/>
  <c r="C18" i="48"/>
  <c r="N18" i="46" s="1"/>
  <c r="C19" i="48"/>
  <c r="N19" i="46" s="1"/>
  <c r="C20" i="48"/>
  <c r="C21" i="48"/>
  <c r="N21" i="46" s="1"/>
  <c r="C22" i="48"/>
  <c r="C23" i="48"/>
  <c r="C24" i="48"/>
  <c r="N24" i="46" s="1"/>
  <c r="C25" i="48"/>
  <c r="C26" i="48"/>
  <c r="B18" i="46"/>
  <c r="B19" i="46"/>
  <c r="B20" i="46"/>
  <c r="B21" i="46"/>
  <c r="B22" i="46"/>
  <c r="B23" i="46"/>
  <c r="B24" i="46"/>
  <c r="B25" i="46"/>
  <c r="B26" i="46"/>
  <c r="N20" i="46"/>
  <c r="N22" i="46"/>
  <c r="N26" i="46"/>
  <c r="N25" i="46" l="1"/>
  <c r="H359" i="48"/>
  <c r="N23" i="46"/>
  <c r="C96" i="44" l="1"/>
  <c r="C97" i="44"/>
  <c r="C98" i="44"/>
  <c r="C76" i="44"/>
  <c r="C94" i="44"/>
  <c r="T56" i="47"/>
  <c r="T57" i="47" s="1"/>
  <c r="B98" i="41" l="1"/>
  <c r="C98" i="1"/>
  <c r="C30" i="41" l="1"/>
  <c r="C31" i="41"/>
  <c r="C32" i="41"/>
  <c r="C33" i="41"/>
  <c r="C34" i="41"/>
  <c r="C35" i="41"/>
  <c r="C36" i="41"/>
  <c r="C29" i="41"/>
  <c r="H21" i="41"/>
  <c r="C122" i="41"/>
  <c r="C123" i="41"/>
  <c r="C124" i="41"/>
  <c r="C96" i="41"/>
  <c r="C97" i="41"/>
  <c r="C98" i="41"/>
  <c r="C13" i="41"/>
  <c r="H347" i="41" s="1"/>
  <c r="C14" i="41"/>
  <c r="H348" i="41" s="1"/>
  <c r="C15" i="41"/>
  <c r="H349" i="41" s="1"/>
  <c r="C16" i="41"/>
  <c r="H350" i="41" s="1"/>
  <c r="C17" i="41"/>
  <c r="H351" i="41" s="1"/>
  <c r="C18" i="41"/>
  <c r="K18" i="46" s="1"/>
  <c r="C19" i="41"/>
  <c r="K19" i="46" s="1"/>
  <c r="C20" i="41"/>
  <c r="K20" i="46" s="1"/>
  <c r="C21" i="41"/>
  <c r="K21" i="46" s="1"/>
  <c r="C22" i="41"/>
  <c r="K22" i="46" s="1"/>
  <c r="C23" i="41"/>
  <c r="K23" i="46" s="1"/>
  <c r="C24" i="41"/>
  <c r="K24" i="46" s="1"/>
  <c r="C25" i="41"/>
  <c r="K25" i="46" s="1"/>
  <c r="C26" i="41"/>
  <c r="K26" i="46" s="1"/>
  <c r="C5" i="44"/>
  <c r="C6" i="44"/>
  <c r="C7" i="44"/>
  <c r="C8" i="44"/>
  <c r="C9" i="44"/>
  <c r="C10" i="44"/>
  <c r="C11" i="44"/>
  <c r="C12" i="44"/>
  <c r="C13" i="44"/>
  <c r="C14" i="44"/>
  <c r="H348" i="44" s="1"/>
  <c r="C15" i="44"/>
  <c r="C16" i="44"/>
  <c r="C17" i="44"/>
  <c r="H351" i="44" s="1"/>
  <c r="C18" i="44"/>
  <c r="C19" i="44"/>
  <c r="C20" i="44"/>
  <c r="C21" i="44"/>
  <c r="C22" i="44"/>
  <c r="C23" i="44"/>
  <c r="C24" i="44"/>
  <c r="C25" i="44"/>
  <c r="C26" i="44"/>
  <c r="H349" i="44"/>
  <c r="H350" i="44"/>
  <c r="H345" i="48"/>
  <c r="H346" i="48"/>
  <c r="H347" i="48"/>
  <c r="H348" i="48"/>
  <c r="H349" i="48"/>
  <c r="H350" i="48"/>
  <c r="H351" i="48"/>
  <c r="H353" i="48"/>
  <c r="H354" i="48"/>
  <c r="H355" i="48"/>
  <c r="H356" i="48"/>
  <c r="H357" i="48"/>
  <c r="H358" i="48"/>
  <c r="H360" i="48"/>
  <c r="E359" i="48"/>
  <c r="E345" i="48"/>
  <c r="E346" i="48"/>
  <c r="E347" i="48"/>
  <c r="E348" i="48"/>
  <c r="E349" i="48"/>
  <c r="E350" i="48"/>
  <c r="E351" i="48"/>
  <c r="E352" i="48"/>
  <c r="D20" i="48"/>
  <c r="D19" i="48"/>
  <c r="D21" i="48"/>
  <c r="D22" i="48"/>
  <c r="D23" i="48"/>
  <c r="D24" i="48"/>
  <c r="D25" i="48"/>
  <c r="D26" i="48"/>
  <c r="B18" i="48"/>
  <c r="B19" i="48"/>
  <c r="B20" i="48"/>
  <c r="B21" i="48"/>
  <c r="B22" i="48"/>
  <c r="B23" i="48"/>
  <c r="B24" i="48"/>
  <c r="B25" i="48"/>
  <c r="B26" i="48"/>
  <c r="E18" i="48"/>
  <c r="E19" i="48"/>
  <c r="E20" i="48"/>
  <c r="E21" i="48"/>
  <c r="E22" i="48"/>
  <c r="E23" i="48"/>
  <c r="E24" i="48"/>
  <c r="E25" i="48"/>
  <c r="E26" i="48"/>
  <c r="E359" i="45"/>
  <c r="E353" i="45"/>
  <c r="E354" i="45"/>
  <c r="E355" i="45"/>
  <c r="E349" i="45"/>
  <c r="E350" i="45"/>
  <c r="E351" i="45"/>
  <c r="E352" i="45"/>
  <c r="E356" i="45"/>
  <c r="H347" i="45"/>
  <c r="H348" i="45"/>
  <c r="H349" i="45"/>
  <c r="D16" i="45"/>
  <c r="D17" i="45"/>
  <c r="M18" i="46"/>
  <c r="M19" i="46"/>
  <c r="M21" i="46"/>
  <c r="M23" i="46"/>
  <c r="M25" i="46"/>
  <c r="B18" i="45"/>
  <c r="B19" i="45"/>
  <c r="B20" i="45"/>
  <c r="B21" i="45"/>
  <c r="B22" i="45"/>
  <c r="B23" i="45"/>
  <c r="B24" i="45"/>
  <c r="B25" i="45"/>
  <c r="B26" i="45"/>
  <c r="E18" i="45"/>
  <c r="E19" i="45"/>
  <c r="E20" i="45"/>
  <c r="E21" i="45"/>
  <c r="E22" i="45"/>
  <c r="E23" i="45"/>
  <c r="E24" i="45"/>
  <c r="E25" i="45"/>
  <c r="E26" i="45"/>
  <c r="M344" i="47"/>
  <c r="N344" i="47"/>
  <c r="O344" i="47" s="1"/>
  <c r="M345" i="47"/>
  <c r="N345" i="47"/>
  <c r="O345" i="47" s="1"/>
  <c r="M346" i="47"/>
  <c r="N346" i="47"/>
  <c r="O346" i="47" s="1"/>
  <c r="M347" i="47"/>
  <c r="N347" i="47"/>
  <c r="O347" i="47" s="1"/>
  <c r="M348" i="47"/>
  <c r="N348" i="47"/>
  <c r="O348" i="47" s="1"/>
  <c r="M349" i="47"/>
  <c r="N349" i="47"/>
  <c r="O349" i="47" s="1"/>
  <c r="M350" i="47"/>
  <c r="N350" i="47"/>
  <c r="O350" i="47" s="1"/>
  <c r="M351" i="47"/>
  <c r="N351" i="47"/>
  <c r="O351" i="47" s="1"/>
  <c r="M353" i="47"/>
  <c r="N353" i="47"/>
  <c r="O353" i="47" s="1"/>
  <c r="M354" i="47"/>
  <c r="N354" i="47"/>
  <c r="O354" i="47" s="1"/>
  <c r="M355" i="47"/>
  <c r="N355" i="47"/>
  <c r="O355" i="47" s="1"/>
  <c r="M356" i="47"/>
  <c r="N356" i="47"/>
  <c r="O356" i="47" s="1"/>
  <c r="N357" i="47"/>
  <c r="O357" i="47" s="1"/>
  <c r="M358" i="47"/>
  <c r="N358" i="47"/>
  <c r="O358" i="47" s="1"/>
  <c r="M359" i="47"/>
  <c r="N359" i="47"/>
  <c r="O359" i="47" s="1"/>
  <c r="H359" i="41" l="1"/>
  <c r="H358" i="41"/>
  <c r="H355" i="41"/>
  <c r="H354" i="41"/>
  <c r="H353" i="41"/>
  <c r="H352" i="41"/>
  <c r="H357" i="41"/>
  <c r="H356" i="41"/>
  <c r="H357" i="44"/>
  <c r="L23" i="46"/>
  <c r="H356" i="44"/>
  <c r="L22" i="46"/>
  <c r="H355" i="44"/>
  <c r="L21" i="46"/>
  <c r="H360" i="44"/>
  <c r="L26" i="46"/>
  <c r="H354" i="44"/>
  <c r="L20" i="46"/>
  <c r="H359" i="44"/>
  <c r="L25" i="46"/>
  <c r="H353" i="44"/>
  <c r="L19" i="46"/>
  <c r="H358" i="44"/>
  <c r="L24" i="46"/>
  <c r="H352" i="44"/>
  <c r="L18" i="46"/>
  <c r="H360" i="45"/>
  <c r="M26" i="46"/>
  <c r="H358" i="45"/>
  <c r="M24" i="46"/>
  <c r="H354" i="45"/>
  <c r="M20" i="46"/>
  <c r="D22" i="45"/>
  <c r="M22" i="46"/>
  <c r="D26" i="45"/>
  <c r="D14" i="45"/>
  <c r="H359" i="45"/>
  <c r="H355" i="45"/>
  <c r="H356" i="45"/>
  <c r="H357" i="45"/>
  <c r="H350" i="45"/>
  <c r="H351" i="45"/>
  <c r="H352" i="45"/>
  <c r="H353" i="45"/>
  <c r="C343" i="47"/>
  <c r="D343" i="47"/>
  <c r="E343" i="47"/>
  <c r="F343" i="47"/>
  <c r="G343" i="47"/>
  <c r="H343" i="47"/>
  <c r="I343" i="47"/>
  <c r="J343" i="47"/>
  <c r="K343" i="47"/>
  <c r="L343" i="47"/>
  <c r="M343" i="47"/>
  <c r="C344" i="47"/>
  <c r="D344" i="47"/>
  <c r="E344" i="47"/>
  <c r="F344" i="47"/>
  <c r="G344" i="47"/>
  <c r="H344" i="47"/>
  <c r="I344" i="47"/>
  <c r="J344" i="47"/>
  <c r="K344" i="47"/>
  <c r="L344" i="47"/>
  <c r="C345" i="47"/>
  <c r="D345" i="47"/>
  <c r="E345" i="47"/>
  <c r="F345" i="47"/>
  <c r="G345" i="47"/>
  <c r="H345" i="47"/>
  <c r="I345" i="47"/>
  <c r="J345" i="47"/>
  <c r="K345" i="47"/>
  <c r="L345" i="47"/>
  <c r="C346" i="47"/>
  <c r="D346" i="47"/>
  <c r="E346" i="47"/>
  <c r="F346" i="47"/>
  <c r="G346" i="47"/>
  <c r="H346" i="47"/>
  <c r="I346" i="47"/>
  <c r="J346" i="47"/>
  <c r="K346" i="47"/>
  <c r="L346" i="47"/>
  <c r="C347" i="47"/>
  <c r="D347" i="47"/>
  <c r="E347" i="47"/>
  <c r="F347" i="47"/>
  <c r="G347" i="47"/>
  <c r="H347" i="47"/>
  <c r="I347" i="47"/>
  <c r="J347" i="47"/>
  <c r="K347" i="47"/>
  <c r="L347" i="47"/>
  <c r="C348" i="47"/>
  <c r="D348" i="47"/>
  <c r="E348" i="47"/>
  <c r="F348" i="47"/>
  <c r="G348" i="47"/>
  <c r="H348" i="47"/>
  <c r="I348" i="47"/>
  <c r="J348" i="47"/>
  <c r="K348" i="47"/>
  <c r="L348" i="47"/>
  <c r="C349" i="47"/>
  <c r="D349" i="47"/>
  <c r="E349" i="47"/>
  <c r="F349" i="47"/>
  <c r="G349" i="47"/>
  <c r="H349" i="47"/>
  <c r="I349" i="47"/>
  <c r="J349" i="47"/>
  <c r="K349" i="47"/>
  <c r="L349" i="47"/>
  <c r="C350" i="47"/>
  <c r="D350" i="47"/>
  <c r="E350" i="47"/>
  <c r="F350" i="47"/>
  <c r="G350" i="47"/>
  <c r="H350" i="47"/>
  <c r="I350" i="47"/>
  <c r="J350" i="47"/>
  <c r="K350" i="47"/>
  <c r="L350" i="47"/>
  <c r="C351" i="47"/>
  <c r="D351" i="47"/>
  <c r="E351" i="47"/>
  <c r="F351" i="47"/>
  <c r="G351" i="47"/>
  <c r="H351" i="47"/>
  <c r="I351" i="47"/>
  <c r="J351" i="47"/>
  <c r="K351" i="47"/>
  <c r="L351" i="47"/>
  <c r="C352" i="47"/>
  <c r="D352" i="47"/>
  <c r="E352" i="47"/>
  <c r="F352" i="47"/>
  <c r="G352" i="47"/>
  <c r="H352" i="47"/>
  <c r="I352" i="47"/>
  <c r="J352" i="47"/>
  <c r="K352" i="47"/>
  <c r="L352" i="47"/>
  <c r="C353" i="47"/>
  <c r="D353" i="47"/>
  <c r="E353" i="47"/>
  <c r="F353" i="47"/>
  <c r="G353" i="47"/>
  <c r="H353" i="47"/>
  <c r="I353" i="47"/>
  <c r="J353" i="47"/>
  <c r="K353" i="47"/>
  <c r="L353" i="47"/>
  <c r="C354" i="47"/>
  <c r="D354" i="47"/>
  <c r="E354" i="47"/>
  <c r="F354" i="47"/>
  <c r="G354" i="47"/>
  <c r="H354" i="47"/>
  <c r="I354" i="47"/>
  <c r="J354" i="47"/>
  <c r="K354" i="47"/>
  <c r="L354" i="47"/>
  <c r="C355" i="47"/>
  <c r="D355" i="47"/>
  <c r="E355" i="47"/>
  <c r="F355" i="47"/>
  <c r="G355" i="47"/>
  <c r="H355" i="47"/>
  <c r="I355" i="47"/>
  <c r="J355" i="47"/>
  <c r="K355" i="47"/>
  <c r="L355" i="47"/>
  <c r="C356" i="47"/>
  <c r="D356" i="47"/>
  <c r="E356" i="47"/>
  <c r="F356" i="47"/>
  <c r="G356" i="47"/>
  <c r="H356" i="47"/>
  <c r="I356" i="47"/>
  <c r="J356" i="47"/>
  <c r="K356" i="47"/>
  <c r="L356" i="47"/>
  <c r="C357" i="47"/>
  <c r="D357" i="47"/>
  <c r="E357" i="47"/>
  <c r="F357" i="47"/>
  <c r="G357" i="47"/>
  <c r="H357" i="47"/>
  <c r="I357" i="47"/>
  <c r="J357" i="47"/>
  <c r="K357" i="47"/>
  <c r="L357" i="47"/>
  <c r="C358" i="47"/>
  <c r="D358" i="47"/>
  <c r="E358" i="47"/>
  <c r="F358" i="47"/>
  <c r="G358" i="47"/>
  <c r="H358" i="47"/>
  <c r="I358" i="47"/>
  <c r="J358" i="47"/>
  <c r="K358" i="47"/>
  <c r="L358" i="47"/>
  <c r="C359" i="47"/>
  <c r="D359" i="47"/>
  <c r="E359" i="47"/>
  <c r="F359" i="47"/>
  <c r="G359" i="47"/>
  <c r="H359" i="47"/>
  <c r="I359" i="47"/>
  <c r="J359" i="47"/>
  <c r="K359" i="47"/>
  <c r="L359" i="47"/>
  <c r="C360" i="47"/>
  <c r="D360" i="47"/>
  <c r="E360" i="47"/>
  <c r="F360" i="47"/>
  <c r="G360" i="47"/>
  <c r="H360" i="47"/>
  <c r="I360" i="47"/>
  <c r="J360" i="47"/>
  <c r="K360" i="47"/>
  <c r="L360" i="47"/>
  <c r="B17" i="47"/>
  <c r="C17" i="47"/>
  <c r="O17" i="47" s="1"/>
  <c r="L17" i="47"/>
  <c r="B18" i="47"/>
  <c r="C18" i="47"/>
  <c r="O18" i="47" s="1"/>
  <c r="K18" i="47"/>
  <c r="L18" i="47"/>
  <c r="M18" i="47"/>
  <c r="B19" i="47"/>
  <c r="C19" i="47"/>
  <c r="O19" i="47" s="1"/>
  <c r="K19" i="47"/>
  <c r="L19" i="47"/>
  <c r="M19" i="47"/>
  <c r="N19" i="47"/>
  <c r="B20" i="47"/>
  <c r="C20" i="47"/>
  <c r="O20" i="47" s="1"/>
  <c r="K20" i="47"/>
  <c r="L20" i="47"/>
  <c r="M20" i="47"/>
  <c r="N20" i="47"/>
  <c r="B21" i="47"/>
  <c r="C21" i="47"/>
  <c r="O21" i="47" s="1"/>
  <c r="K21" i="47"/>
  <c r="L21" i="47"/>
  <c r="M21" i="47"/>
  <c r="N21" i="47"/>
  <c r="B22" i="47"/>
  <c r="C22" i="47"/>
  <c r="O22" i="47" s="1"/>
  <c r="K22" i="47"/>
  <c r="L22" i="47"/>
  <c r="M22" i="47"/>
  <c r="N22" i="47"/>
  <c r="B23" i="47"/>
  <c r="C23" i="47"/>
  <c r="O23" i="47" s="1"/>
  <c r="K23" i="47"/>
  <c r="L23" i="47"/>
  <c r="M23" i="47"/>
  <c r="N23" i="47"/>
  <c r="B24" i="47"/>
  <c r="C24" i="47"/>
  <c r="O24" i="47" s="1"/>
  <c r="K24" i="47"/>
  <c r="L24" i="47"/>
  <c r="M24" i="47"/>
  <c r="N24" i="47"/>
  <c r="B25" i="47"/>
  <c r="C25" i="47"/>
  <c r="O25" i="47" s="1"/>
  <c r="K25" i="47"/>
  <c r="L25" i="47"/>
  <c r="M25" i="47"/>
  <c r="N25" i="47"/>
  <c r="B26" i="47"/>
  <c r="C26" i="47"/>
  <c r="K26" i="47"/>
  <c r="L26" i="47"/>
  <c r="M26" i="47"/>
  <c r="N26" i="47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32" i="39"/>
  <c r="E352" i="44"/>
  <c r="E353" i="44"/>
  <c r="E354" i="44"/>
  <c r="E355" i="44"/>
  <c r="E356" i="44"/>
  <c r="E357" i="44"/>
  <c r="E358" i="44"/>
  <c r="E359" i="44"/>
  <c r="E360" i="44"/>
  <c r="D16" i="44"/>
  <c r="D26" i="44"/>
  <c r="B18" i="44"/>
  <c r="B19" i="44"/>
  <c r="B20" i="44"/>
  <c r="B21" i="44"/>
  <c r="B22" i="44"/>
  <c r="B23" i="44"/>
  <c r="B24" i="44"/>
  <c r="B25" i="44"/>
  <c r="B26" i="44"/>
  <c r="E18" i="44"/>
  <c r="E19" i="44"/>
  <c r="E20" i="44"/>
  <c r="E21" i="44"/>
  <c r="E22" i="44"/>
  <c r="E23" i="44"/>
  <c r="E24" i="44"/>
  <c r="E25" i="44"/>
  <c r="E26" i="44"/>
  <c r="I350" i="43"/>
  <c r="J350" i="43"/>
  <c r="K350" i="43"/>
  <c r="O350" i="43"/>
  <c r="I351" i="43"/>
  <c r="J351" i="43"/>
  <c r="K351" i="43"/>
  <c r="O351" i="43"/>
  <c r="I352" i="43"/>
  <c r="J352" i="43"/>
  <c r="K352" i="43"/>
  <c r="O352" i="43"/>
  <c r="I353" i="43"/>
  <c r="J353" i="43"/>
  <c r="K353" i="43"/>
  <c r="O353" i="43"/>
  <c r="I354" i="43"/>
  <c r="J354" i="43"/>
  <c r="K354" i="43"/>
  <c r="O354" i="43"/>
  <c r="I355" i="43"/>
  <c r="J355" i="43"/>
  <c r="K355" i="43"/>
  <c r="O355" i="43"/>
  <c r="I356" i="43"/>
  <c r="J356" i="43"/>
  <c r="K356" i="43"/>
  <c r="O356" i="43"/>
  <c r="I357" i="43"/>
  <c r="J357" i="43"/>
  <c r="K357" i="43"/>
  <c r="O357" i="43"/>
  <c r="I358" i="43"/>
  <c r="J358" i="43"/>
  <c r="K358" i="43"/>
  <c r="O358" i="43"/>
  <c r="I359" i="43"/>
  <c r="J359" i="43"/>
  <c r="K359" i="43"/>
  <c r="O359" i="43"/>
  <c r="I360" i="43"/>
  <c r="J360" i="43"/>
  <c r="K360" i="43"/>
  <c r="O360" i="43"/>
  <c r="B17" i="43"/>
  <c r="B18" i="43"/>
  <c r="K18" i="43"/>
  <c r="B19" i="43"/>
  <c r="K19" i="43"/>
  <c r="B20" i="43"/>
  <c r="K20" i="43"/>
  <c r="B21" i="43"/>
  <c r="K21" i="43"/>
  <c r="B22" i="43"/>
  <c r="K22" i="43"/>
  <c r="B23" i="43"/>
  <c r="K23" i="43"/>
  <c r="B24" i="43"/>
  <c r="K24" i="43"/>
  <c r="B25" i="43"/>
  <c r="K25" i="43"/>
  <c r="B26" i="43"/>
  <c r="K26" i="43"/>
  <c r="C336" i="41"/>
  <c r="D350" i="41" s="1"/>
  <c r="C336" i="40"/>
  <c r="D352" i="40" s="1"/>
  <c r="C336" i="39"/>
  <c r="E352" i="41"/>
  <c r="E353" i="41"/>
  <c r="E354" i="41"/>
  <c r="E355" i="41"/>
  <c r="E356" i="41"/>
  <c r="E357" i="41"/>
  <c r="E358" i="41"/>
  <c r="E359" i="41"/>
  <c r="E360" i="41"/>
  <c r="D22" i="41"/>
  <c r="D26" i="41"/>
  <c r="B26" i="41"/>
  <c r="E26" i="41"/>
  <c r="B18" i="41"/>
  <c r="B19" i="41"/>
  <c r="B20" i="41"/>
  <c r="B21" i="41"/>
  <c r="B22" i="41"/>
  <c r="B23" i="41"/>
  <c r="B24" i="41"/>
  <c r="B25" i="41"/>
  <c r="E18" i="41"/>
  <c r="E19" i="41"/>
  <c r="E20" i="41"/>
  <c r="E21" i="41"/>
  <c r="E22" i="41"/>
  <c r="E23" i="41"/>
  <c r="E24" i="41"/>
  <c r="E25" i="41"/>
  <c r="E352" i="40"/>
  <c r="E353" i="40"/>
  <c r="E354" i="40"/>
  <c r="E355" i="40"/>
  <c r="E356" i="40"/>
  <c r="E357" i="40"/>
  <c r="E358" i="40"/>
  <c r="E359" i="40"/>
  <c r="E360" i="40"/>
  <c r="C4" i="40"/>
  <c r="C5" i="40"/>
  <c r="C6" i="40"/>
  <c r="C7" i="40"/>
  <c r="C8" i="40"/>
  <c r="C9" i="40"/>
  <c r="C10" i="40"/>
  <c r="C11" i="40"/>
  <c r="C12" i="40"/>
  <c r="C13" i="40"/>
  <c r="H347" i="40" s="1"/>
  <c r="C14" i="40"/>
  <c r="H348" i="40" s="1"/>
  <c r="C15" i="40"/>
  <c r="H349" i="40" s="1"/>
  <c r="C16" i="40"/>
  <c r="H350" i="40" s="1"/>
  <c r="C17" i="40"/>
  <c r="J17" i="43" s="1"/>
  <c r="C18" i="40"/>
  <c r="C19" i="40"/>
  <c r="C20" i="40"/>
  <c r="C21" i="40"/>
  <c r="C22" i="40"/>
  <c r="C23" i="40"/>
  <c r="C24" i="40"/>
  <c r="C25" i="40"/>
  <c r="C26" i="40"/>
  <c r="J26" i="46" s="1"/>
  <c r="B16" i="40"/>
  <c r="B17" i="40"/>
  <c r="B18" i="40"/>
  <c r="B19" i="40"/>
  <c r="B20" i="40"/>
  <c r="B21" i="40"/>
  <c r="B22" i="40"/>
  <c r="B23" i="40"/>
  <c r="B24" i="40"/>
  <c r="B25" i="40"/>
  <c r="E16" i="40"/>
  <c r="E17" i="40"/>
  <c r="E18" i="40"/>
  <c r="E19" i="40"/>
  <c r="E20" i="40"/>
  <c r="E21" i="40"/>
  <c r="E22" i="40"/>
  <c r="E23" i="40"/>
  <c r="E24" i="40"/>
  <c r="E25" i="40"/>
  <c r="E352" i="39"/>
  <c r="E353" i="39"/>
  <c r="E354" i="39"/>
  <c r="E355" i="39"/>
  <c r="E356" i="39"/>
  <c r="E357" i="39"/>
  <c r="E358" i="39"/>
  <c r="E359" i="39"/>
  <c r="E360" i="39"/>
  <c r="B22" i="39"/>
  <c r="C4" i="39"/>
  <c r="C5" i="39"/>
  <c r="D5" i="39" s="1"/>
  <c r="C6" i="39"/>
  <c r="C7" i="39"/>
  <c r="D7" i="39" s="1"/>
  <c r="C8" i="39"/>
  <c r="C9" i="39"/>
  <c r="D9" i="39" s="1"/>
  <c r="C10" i="39"/>
  <c r="C11" i="39"/>
  <c r="C12" i="39"/>
  <c r="C13" i="39"/>
  <c r="H347" i="39" s="1"/>
  <c r="C14" i="39"/>
  <c r="D14" i="39" s="1"/>
  <c r="C15" i="39"/>
  <c r="H349" i="39" s="1"/>
  <c r="C16" i="39"/>
  <c r="D16" i="39" s="1"/>
  <c r="C17" i="39"/>
  <c r="I17" i="47" s="1"/>
  <c r="C18" i="39"/>
  <c r="I18" i="46" s="1"/>
  <c r="C19" i="39"/>
  <c r="I19" i="46" s="1"/>
  <c r="C20" i="39"/>
  <c r="I20" i="46" s="1"/>
  <c r="C21" i="39"/>
  <c r="I21" i="46" s="1"/>
  <c r="C22" i="39"/>
  <c r="I22" i="46" s="1"/>
  <c r="C23" i="39"/>
  <c r="I23" i="46" s="1"/>
  <c r="C24" i="39"/>
  <c r="I24" i="46" s="1"/>
  <c r="C25" i="39"/>
  <c r="I25" i="46" s="1"/>
  <c r="C26" i="39"/>
  <c r="I26" i="46" s="1"/>
  <c r="B18" i="39"/>
  <c r="B19" i="39"/>
  <c r="B20" i="39"/>
  <c r="B21" i="39"/>
  <c r="B23" i="39"/>
  <c r="B24" i="39"/>
  <c r="B25" i="39"/>
  <c r="B26" i="39"/>
  <c r="E18" i="39"/>
  <c r="E19" i="39"/>
  <c r="E20" i="39"/>
  <c r="E21" i="39"/>
  <c r="E22" i="39"/>
  <c r="E23" i="39"/>
  <c r="E24" i="39"/>
  <c r="E25" i="39"/>
  <c r="E26" i="39"/>
  <c r="C64" i="36"/>
  <c r="C63" i="36"/>
  <c r="C62" i="36"/>
  <c r="C61" i="36"/>
  <c r="H360" i="39" l="1"/>
  <c r="I26" i="43"/>
  <c r="O26" i="43" s="1"/>
  <c r="P26" i="43" s="1"/>
  <c r="H355" i="39"/>
  <c r="H352" i="39"/>
  <c r="I21" i="43"/>
  <c r="O21" i="43" s="1"/>
  <c r="D26" i="39"/>
  <c r="H358" i="39"/>
  <c r="I25" i="47"/>
  <c r="I26" i="47"/>
  <c r="I24" i="43"/>
  <c r="O24" i="43" s="1"/>
  <c r="O26" i="46"/>
  <c r="P26" i="46" s="1"/>
  <c r="I22" i="47"/>
  <c r="J22" i="43"/>
  <c r="J22" i="46"/>
  <c r="O22" i="46" s="1"/>
  <c r="H355" i="40"/>
  <c r="J21" i="46"/>
  <c r="O21" i="46" s="1"/>
  <c r="D16" i="40"/>
  <c r="J25" i="43"/>
  <c r="J25" i="46"/>
  <c r="O25" i="46" s="1"/>
  <c r="J19" i="43"/>
  <c r="J19" i="46"/>
  <c r="O19" i="46" s="1"/>
  <c r="H354" i="40"/>
  <c r="J20" i="46"/>
  <c r="O20" i="46" s="1"/>
  <c r="J24" i="43"/>
  <c r="J24" i="46"/>
  <c r="O24" i="46" s="1"/>
  <c r="J18" i="43"/>
  <c r="J18" i="46"/>
  <c r="O18" i="46" s="1"/>
  <c r="J20" i="47"/>
  <c r="J23" i="43"/>
  <c r="J23" i="46"/>
  <c r="O23" i="46" s="1"/>
  <c r="H354" i="39"/>
  <c r="H348" i="39"/>
  <c r="I22" i="43"/>
  <c r="O22" i="43" s="1"/>
  <c r="P22" i="43" s="1"/>
  <c r="I20" i="43"/>
  <c r="O20" i="43" s="1"/>
  <c r="I23" i="47"/>
  <c r="H353" i="39"/>
  <c r="I18" i="43"/>
  <c r="O18" i="43" s="1"/>
  <c r="P18" i="43" s="1"/>
  <c r="I20" i="47"/>
  <c r="H357" i="39"/>
  <c r="H351" i="39"/>
  <c r="I25" i="43"/>
  <c r="O25" i="43" s="1"/>
  <c r="I23" i="43"/>
  <c r="O23" i="43" s="1"/>
  <c r="I17" i="43"/>
  <c r="O17" i="43" s="1"/>
  <c r="I19" i="47"/>
  <c r="D22" i="39"/>
  <c r="H356" i="39"/>
  <c r="H350" i="39"/>
  <c r="I19" i="43"/>
  <c r="O19" i="43" s="1"/>
  <c r="I24" i="47"/>
  <c r="I21" i="47"/>
  <c r="I18" i="47"/>
  <c r="D18" i="39"/>
  <c r="H359" i="39"/>
  <c r="D359" i="41"/>
  <c r="D349" i="41"/>
  <c r="D353" i="41"/>
  <c r="D352" i="41"/>
  <c r="D360" i="41"/>
  <c r="J19" i="47"/>
  <c r="J17" i="47"/>
  <c r="J24" i="47"/>
  <c r="J23" i="47"/>
  <c r="J22" i="47"/>
  <c r="H359" i="40"/>
  <c r="J21" i="47"/>
  <c r="D359" i="40"/>
  <c r="D357" i="40"/>
  <c r="D356" i="40"/>
  <c r="D355" i="40"/>
  <c r="D354" i="40"/>
  <c r="D360" i="40"/>
  <c r="D353" i="40"/>
  <c r="D12" i="39"/>
  <c r="D24" i="39"/>
  <c r="D21" i="39"/>
  <c r="D15" i="39"/>
  <c r="D20" i="39"/>
  <c r="D8" i="39"/>
  <c r="D25" i="39"/>
  <c r="D19" i="39"/>
  <c r="D13" i="39"/>
  <c r="D6" i="39"/>
  <c r="D23" i="39"/>
  <c r="D17" i="39"/>
  <c r="D11" i="39"/>
  <c r="D10" i="39"/>
  <c r="J25" i="47"/>
  <c r="J26" i="47"/>
  <c r="J18" i="47"/>
  <c r="H353" i="40"/>
  <c r="J26" i="43"/>
  <c r="H360" i="40"/>
  <c r="H357" i="40"/>
  <c r="H351" i="40"/>
  <c r="H358" i="40"/>
  <c r="H352" i="40"/>
  <c r="J20" i="43"/>
  <c r="D22" i="40"/>
  <c r="H356" i="40"/>
  <c r="J21" i="43"/>
  <c r="D358" i="41"/>
  <c r="D348" i="41"/>
  <c r="D355" i="41"/>
  <c r="D347" i="41"/>
  <c r="D354" i="41"/>
  <c r="D358" i="40"/>
  <c r="D357" i="41"/>
  <c r="D351" i="41"/>
  <c r="D356" i="41"/>
  <c r="H348" i="35" l="1"/>
  <c r="O348" i="35" s="1"/>
  <c r="I14" i="32" l="1"/>
  <c r="C351" i="35"/>
  <c r="D351" i="35"/>
  <c r="E351" i="35"/>
  <c r="F351" i="35"/>
  <c r="G351" i="35"/>
  <c r="H351" i="35"/>
  <c r="O351" i="35" s="1"/>
  <c r="C352" i="35"/>
  <c r="D352" i="35"/>
  <c r="E352" i="35"/>
  <c r="F352" i="35"/>
  <c r="G352" i="35"/>
  <c r="H352" i="35"/>
  <c r="O352" i="35" s="1"/>
  <c r="C353" i="35"/>
  <c r="D353" i="35"/>
  <c r="E353" i="35"/>
  <c r="F353" i="35"/>
  <c r="G353" i="35"/>
  <c r="H353" i="35"/>
  <c r="O353" i="35" s="1"/>
  <c r="C354" i="35"/>
  <c r="D354" i="35"/>
  <c r="E354" i="35"/>
  <c r="F354" i="35"/>
  <c r="G354" i="35"/>
  <c r="H354" i="35"/>
  <c r="O354" i="35" s="1"/>
  <c r="C355" i="35"/>
  <c r="D355" i="35"/>
  <c r="E355" i="35"/>
  <c r="F355" i="35"/>
  <c r="G355" i="35"/>
  <c r="H355" i="35"/>
  <c r="O355" i="35" s="1"/>
  <c r="C356" i="35"/>
  <c r="D356" i="35"/>
  <c r="E356" i="35"/>
  <c r="F356" i="35"/>
  <c r="G356" i="35"/>
  <c r="H356" i="35"/>
  <c r="O356" i="35" s="1"/>
  <c r="C357" i="35"/>
  <c r="D357" i="35"/>
  <c r="E357" i="35"/>
  <c r="F357" i="35"/>
  <c r="G357" i="35"/>
  <c r="H357" i="35"/>
  <c r="O357" i="35" s="1"/>
  <c r="C358" i="35"/>
  <c r="D358" i="35"/>
  <c r="E358" i="35"/>
  <c r="F358" i="35"/>
  <c r="G358" i="35"/>
  <c r="H358" i="35"/>
  <c r="O358" i="35" s="1"/>
  <c r="C359" i="35"/>
  <c r="D359" i="35"/>
  <c r="E359" i="35"/>
  <c r="F359" i="35"/>
  <c r="G359" i="35"/>
  <c r="H359" i="35"/>
  <c r="O359" i="35" s="1"/>
  <c r="C360" i="35"/>
  <c r="D360" i="35"/>
  <c r="E360" i="35"/>
  <c r="F360" i="35"/>
  <c r="G360" i="35"/>
  <c r="H360" i="35"/>
  <c r="O360" i="35"/>
  <c r="B17" i="35"/>
  <c r="C17" i="35"/>
  <c r="O17" i="35" s="1"/>
  <c r="B18" i="35"/>
  <c r="C18" i="35"/>
  <c r="O18" i="35" s="1"/>
  <c r="B19" i="35"/>
  <c r="C19" i="35"/>
  <c r="O19" i="35" s="1"/>
  <c r="B20" i="35"/>
  <c r="C20" i="35"/>
  <c r="O20" i="35" s="1"/>
  <c r="B21" i="35"/>
  <c r="C21" i="35"/>
  <c r="O21" i="35" s="1"/>
  <c r="B22" i="35"/>
  <c r="C22" i="35"/>
  <c r="O22" i="35" s="1"/>
  <c r="B23" i="35"/>
  <c r="C23" i="35"/>
  <c r="O23" i="35" s="1"/>
  <c r="B24" i="35"/>
  <c r="C24" i="35"/>
  <c r="O24" i="35" s="1"/>
  <c r="B25" i="35"/>
  <c r="C25" i="35"/>
  <c r="O25" i="35" s="1"/>
  <c r="B26" i="35"/>
  <c r="C26" i="35"/>
  <c r="O26" i="35" s="1"/>
  <c r="F350" i="42"/>
  <c r="G350" i="42"/>
  <c r="H350" i="42"/>
  <c r="O350" i="42"/>
  <c r="F351" i="42"/>
  <c r="G351" i="42"/>
  <c r="H351" i="42"/>
  <c r="O351" i="42"/>
  <c r="F352" i="42"/>
  <c r="G352" i="42"/>
  <c r="H352" i="42"/>
  <c r="O352" i="42"/>
  <c r="F353" i="42"/>
  <c r="G353" i="42"/>
  <c r="H353" i="42"/>
  <c r="O353" i="42"/>
  <c r="F354" i="42"/>
  <c r="G354" i="42"/>
  <c r="H354" i="42"/>
  <c r="O354" i="42"/>
  <c r="F355" i="42"/>
  <c r="G355" i="42"/>
  <c r="H355" i="42"/>
  <c r="O355" i="42"/>
  <c r="F356" i="42"/>
  <c r="G356" i="42"/>
  <c r="H356" i="42"/>
  <c r="O356" i="42"/>
  <c r="F357" i="42"/>
  <c r="G357" i="42"/>
  <c r="H357" i="42"/>
  <c r="O357" i="42"/>
  <c r="F358" i="42"/>
  <c r="G358" i="42"/>
  <c r="H358" i="42"/>
  <c r="O358" i="42"/>
  <c r="F359" i="42"/>
  <c r="G359" i="42"/>
  <c r="H359" i="42"/>
  <c r="O359" i="42"/>
  <c r="F360" i="42"/>
  <c r="G360" i="42"/>
  <c r="H360" i="42"/>
  <c r="O360" i="42"/>
  <c r="B17" i="42"/>
  <c r="B18" i="42"/>
  <c r="B19" i="42"/>
  <c r="B20" i="42"/>
  <c r="B21" i="42"/>
  <c r="B22" i="42"/>
  <c r="B23" i="42"/>
  <c r="B24" i="42"/>
  <c r="B25" i="42"/>
  <c r="B26" i="42"/>
  <c r="E361" i="38"/>
  <c r="E360" i="38"/>
  <c r="E359" i="38"/>
  <c r="E358" i="38"/>
  <c r="E357" i="38"/>
  <c r="E356" i="38"/>
  <c r="E355" i="38"/>
  <c r="E354" i="38"/>
  <c r="E353" i="38"/>
  <c r="E352" i="38"/>
  <c r="E351" i="38"/>
  <c r="E350" i="38"/>
  <c r="E349" i="38"/>
  <c r="E348" i="38"/>
  <c r="C336" i="38"/>
  <c r="C4" i="38"/>
  <c r="H338" i="38" s="1"/>
  <c r="C5" i="38"/>
  <c r="C6" i="38"/>
  <c r="C7" i="38"/>
  <c r="D7" i="38" s="1"/>
  <c r="C8" i="38"/>
  <c r="H342" i="38" s="1"/>
  <c r="C9" i="38"/>
  <c r="C10" i="38"/>
  <c r="H344" i="38" s="1"/>
  <c r="C11" i="38"/>
  <c r="C12" i="38"/>
  <c r="H346" i="38" s="1"/>
  <c r="C13" i="38"/>
  <c r="H347" i="38" s="1"/>
  <c r="C14" i="38"/>
  <c r="C15" i="38"/>
  <c r="H349" i="38" s="1"/>
  <c r="C16" i="38"/>
  <c r="H350" i="38" s="1"/>
  <c r="C17" i="38"/>
  <c r="C18" i="38"/>
  <c r="C19" i="38"/>
  <c r="C20" i="38"/>
  <c r="C21" i="38"/>
  <c r="C22" i="38"/>
  <c r="D22" i="38" s="1"/>
  <c r="C23" i="38"/>
  <c r="C24" i="38"/>
  <c r="C25" i="38"/>
  <c r="C26" i="38"/>
  <c r="C3" i="38"/>
  <c r="H337" i="38" s="1"/>
  <c r="B18" i="38"/>
  <c r="B19" i="38"/>
  <c r="B20" i="38"/>
  <c r="B21" i="38"/>
  <c r="B22" i="38"/>
  <c r="B23" i="38"/>
  <c r="B24" i="38"/>
  <c r="B25" i="38"/>
  <c r="B26" i="38"/>
  <c r="E18" i="38"/>
  <c r="E19" i="38"/>
  <c r="E20" i="38"/>
  <c r="E21" i="38"/>
  <c r="E22" i="38"/>
  <c r="E23" i="38"/>
  <c r="E24" i="38"/>
  <c r="E25" i="38"/>
  <c r="E26" i="38"/>
  <c r="C336" i="36"/>
  <c r="D353" i="36" s="1"/>
  <c r="D353" i="32"/>
  <c r="C336" i="31"/>
  <c r="E352" i="36"/>
  <c r="E353" i="36"/>
  <c r="E354" i="36"/>
  <c r="E355" i="36"/>
  <c r="E356" i="36"/>
  <c r="E357" i="36"/>
  <c r="E358" i="36"/>
  <c r="E359" i="36"/>
  <c r="E360" i="36"/>
  <c r="C4" i="36"/>
  <c r="C5" i="36"/>
  <c r="D5" i="36" s="1"/>
  <c r="C6" i="36"/>
  <c r="C7" i="36"/>
  <c r="D7" i="36" s="1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B18" i="36"/>
  <c r="B19" i="36"/>
  <c r="B20" i="36"/>
  <c r="B21" i="36"/>
  <c r="B22" i="36"/>
  <c r="B23" i="36"/>
  <c r="B24" i="36"/>
  <c r="B25" i="36"/>
  <c r="B26" i="36"/>
  <c r="E18" i="36"/>
  <c r="E19" i="36"/>
  <c r="E20" i="36"/>
  <c r="E21" i="36"/>
  <c r="E22" i="36"/>
  <c r="E23" i="36"/>
  <c r="E24" i="36"/>
  <c r="E25" i="36"/>
  <c r="E26" i="36"/>
  <c r="E360" i="31"/>
  <c r="D340" i="1"/>
  <c r="H360" i="1"/>
  <c r="B360" i="1"/>
  <c r="E360" i="1"/>
  <c r="E352" i="32"/>
  <c r="E353" i="32"/>
  <c r="E354" i="32"/>
  <c r="E355" i="32"/>
  <c r="E356" i="32"/>
  <c r="E357" i="32"/>
  <c r="E358" i="32"/>
  <c r="E359" i="32"/>
  <c r="E360" i="32"/>
  <c r="C5" i="32"/>
  <c r="D5" i="32" s="1"/>
  <c r="C7" i="32"/>
  <c r="D7" i="32" s="1"/>
  <c r="C8" i="32"/>
  <c r="C9" i="32"/>
  <c r="C11" i="32"/>
  <c r="H347" i="32"/>
  <c r="C14" i="32"/>
  <c r="H348" i="32" s="1"/>
  <c r="H349" i="32"/>
  <c r="C16" i="32"/>
  <c r="H350" i="32" s="1"/>
  <c r="C17" i="32"/>
  <c r="C18" i="32"/>
  <c r="F21" i="42"/>
  <c r="C22" i="32"/>
  <c r="B21" i="32"/>
  <c r="B22" i="32"/>
  <c r="B23" i="32"/>
  <c r="B24" i="32"/>
  <c r="B25" i="32"/>
  <c r="B26" i="32"/>
  <c r="E21" i="32"/>
  <c r="E22" i="32"/>
  <c r="E23" i="32"/>
  <c r="E24" i="32"/>
  <c r="E25" i="32"/>
  <c r="E26" i="32"/>
  <c r="B18" i="32"/>
  <c r="B19" i="32"/>
  <c r="B20" i="32"/>
  <c r="E18" i="32"/>
  <c r="E19" i="32"/>
  <c r="E20" i="32"/>
  <c r="E18" i="33"/>
  <c r="E23" i="33"/>
  <c r="E24" i="33"/>
  <c r="H348" i="31" l="1"/>
  <c r="E14" i="33"/>
  <c r="H340" i="31"/>
  <c r="E6" i="33"/>
  <c r="E21" i="35"/>
  <c r="E21" i="33"/>
  <c r="E17" i="35"/>
  <c r="E17" i="33"/>
  <c r="H347" i="31"/>
  <c r="E13" i="33"/>
  <c r="H343" i="31"/>
  <c r="E9" i="33"/>
  <c r="H339" i="31"/>
  <c r="E5" i="33"/>
  <c r="H344" i="31"/>
  <c r="E10" i="33"/>
  <c r="E25" i="35"/>
  <c r="E25" i="33"/>
  <c r="E20" i="35"/>
  <c r="E20" i="33"/>
  <c r="H350" i="31"/>
  <c r="E16" i="33"/>
  <c r="H346" i="31"/>
  <c r="E12" i="33"/>
  <c r="H342" i="31"/>
  <c r="E8" i="33"/>
  <c r="H338" i="31"/>
  <c r="E4" i="33"/>
  <c r="E22" i="35"/>
  <c r="E22" i="33"/>
  <c r="B360" i="41"/>
  <c r="B360" i="33"/>
  <c r="E19" i="35"/>
  <c r="E19" i="33"/>
  <c r="H349" i="31"/>
  <c r="E15" i="33"/>
  <c r="H345" i="31"/>
  <c r="E11" i="33"/>
  <c r="H341" i="31"/>
  <c r="E7" i="33"/>
  <c r="D360" i="31"/>
  <c r="E336" i="33"/>
  <c r="H360" i="38"/>
  <c r="H26" i="47"/>
  <c r="H360" i="36"/>
  <c r="G26" i="47"/>
  <c r="H24" i="35"/>
  <c r="H24" i="47"/>
  <c r="H23" i="42"/>
  <c r="H23" i="47"/>
  <c r="H17" i="35"/>
  <c r="H17" i="47"/>
  <c r="H25" i="35"/>
  <c r="H25" i="47"/>
  <c r="H353" i="38"/>
  <c r="H19" i="47"/>
  <c r="H22" i="35"/>
  <c r="H22" i="47"/>
  <c r="H355" i="38"/>
  <c r="H21" i="47"/>
  <c r="H18" i="35"/>
  <c r="H18" i="47"/>
  <c r="H20" i="42"/>
  <c r="H20" i="47"/>
  <c r="G21" i="35"/>
  <c r="G21" i="47"/>
  <c r="G23" i="47"/>
  <c r="G17" i="47"/>
  <c r="D22" i="36"/>
  <c r="G22" i="47"/>
  <c r="G20" i="47"/>
  <c r="G25" i="42"/>
  <c r="G25" i="47"/>
  <c r="G19" i="35"/>
  <c r="G19" i="47"/>
  <c r="G24" i="47"/>
  <c r="G18" i="47"/>
  <c r="F20" i="35"/>
  <c r="F20" i="47"/>
  <c r="D22" i="32"/>
  <c r="F22" i="47"/>
  <c r="F21" i="47"/>
  <c r="F24" i="47"/>
  <c r="F18" i="47"/>
  <c r="F19" i="35"/>
  <c r="F19" i="47"/>
  <c r="H357" i="32"/>
  <c r="F23" i="47"/>
  <c r="F17" i="42"/>
  <c r="F17" i="47"/>
  <c r="H351" i="32"/>
  <c r="F23" i="42"/>
  <c r="F19" i="42"/>
  <c r="F24" i="35"/>
  <c r="H352" i="31"/>
  <c r="E18" i="47"/>
  <c r="H355" i="31"/>
  <c r="E21" i="47"/>
  <c r="H358" i="31"/>
  <c r="E24" i="47"/>
  <c r="H357" i="31"/>
  <c r="E23" i="47"/>
  <c r="H351" i="31"/>
  <c r="E17" i="47"/>
  <c r="H354" i="31"/>
  <c r="E20" i="47"/>
  <c r="E23" i="35"/>
  <c r="E18" i="35"/>
  <c r="H359" i="31"/>
  <c r="E25" i="47"/>
  <c r="H353" i="31"/>
  <c r="E19" i="47"/>
  <c r="E24" i="35"/>
  <c r="H356" i="31"/>
  <c r="E22" i="47"/>
  <c r="B360" i="32"/>
  <c r="B360" i="44"/>
  <c r="B360" i="43"/>
  <c r="B360" i="40"/>
  <c r="B360" i="39"/>
  <c r="B360" i="47"/>
  <c r="B360" i="36"/>
  <c r="B360" i="42"/>
  <c r="B360" i="31"/>
  <c r="B360" i="38"/>
  <c r="B360" i="35"/>
  <c r="H359" i="38"/>
  <c r="D337" i="38"/>
  <c r="C363" i="38"/>
  <c r="H26" i="35"/>
  <c r="H20" i="35"/>
  <c r="D26" i="38"/>
  <c r="H341" i="38"/>
  <c r="H351" i="38"/>
  <c r="H357" i="38"/>
  <c r="H25" i="42"/>
  <c r="H17" i="42"/>
  <c r="H354" i="38"/>
  <c r="H26" i="42"/>
  <c r="H21" i="35"/>
  <c r="H358" i="38"/>
  <c r="H21" i="42"/>
  <c r="H343" i="38"/>
  <c r="H24" i="42"/>
  <c r="H23" i="35"/>
  <c r="H19" i="35"/>
  <c r="H19" i="42"/>
  <c r="H348" i="38"/>
  <c r="H340" i="38"/>
  <c r="H356" i="38"/>
  <c r="H22" i="42"/>
  <c r="C2" i="38"/>
  <c r="D25" i="38" s="1"/>
  <c r="H352" i="38"/>
  <c r="H18" i="42"/>
  <c r="H345" i="38"/>
  <c r="D342" i="36"/>
  <c r="D351" i="36"/>
  <c r="D359" i="36"/>
  <c r="D344" i="36"/>
  <c r="D360" i="36"/>
  <c r="D337" i="36"/>
  <c r="D345" i="36"/>
  <c r="D354" i="36"/>
  <c r="H339" i="38"/>
  <c r="D5" i="38"/>
  <c r="D352" i="36"/>
  <c r="D338" i="36"/>
  <c r="D346" i="36"/>
  <c r="D355" i="36"/>
  <c r="D339" i="36"/>
  <c r="D348" i="36"/>
  <c r="D356" i="36"/>
  <c r="D340" i="36"/>
  <c r="D349" i="36"/>
  <c r="D358" i="36"/>
  <c r="D338" i="1"/>
  <c r="D357" i="1"/>
  <c r="D339" i="1"/>
  <c r="D350" i="1"/>
  <c r="D337" i="1"/>
  <c r="D355" i="1"/>
  <c r="D349" i="1"/>
  <c r="D343" i="1"/>
  <c r="D360" i="1"/>
  <c r="D354" i="1"/>
  <c r="D348" i="1"/>
  <c r="D342" i="1"/>
  <c r="D351" i="1"/>
  <c r="D344" i="1"/>
  <c r="D359" i="1"/>
  <c r="D353" i="1"/>
  <c r="D347" i="1"/>
  <c r="D341" i="1"/>
  <c r="D345" i="1"/>
  <c r="D356" i="1"/>
  <c r="D358" i="1"/>
  <c r="D352" i="1"/>
  <c r="D346" i="1"/>
  <c r="F23" i="35"/>
  <c r="H358" i="32"/>
  <c r="F20" i="42"/>
  <c r="H355" i="32"/>
  <c r="F24" i="42"/>
  <c r="H354" i="32"/>
  <c r="F17" i="35"/>
  <c r="H353" i="32"/>
  <c r="G19" i="42"/>
  <c r="F21" i="35"/>
  <c r="G26" i="42"/>
  <c r="G18" i="42"/>
  <c r="G18" i="35"/>
  <c r="G24" i="35"/>
  <c r="G24" i="42"/>
  <c r="G20" i="42"/>
  <c r="G20" i="35"/>
  <c r="G25" i="35"/>
  <c r="G23" i="35"/>
  <c r="G23" i="42"/>
  <c r="G21" i="42"/>
  <c r="G17" i="42"/>
  <c r="G17" i="35"/>
  <c r="H356" i="32"/>
  <c r="F22" i="35"/>
  <c r="F22" i="42"/>
  <c r="H352" i="32"/>
  <c r="F18" i="42"/>
  <c r="F18" i="35"/>
  <c r="G26" i="35"/>
  <c r="G22" i="42"/>
  <c r="G22" i="35"/>
  <c r="D344" i="32"/>
  <c r="D360" i="32"/>
  <c r="D337" i="32"/>
  <c r="D345" i="32"/>
  <c r="D354" i="32"/>
  <c r="D352" i="32"/>
  <c r="D338" i="32"/>
  <c r="D346" i="32"/>
  <c r="D355" i="32"/>
  <c r="D339" i="32"/>
  <c r="D348" i="32"/>
  <c r="D356" i="32"/>
  <c r="D358" i="32"/>
  <c r="D340" i="32"/>
  <c r="D349" i="32"/>
  <c r="D342" i="32"/>
  <c r="D351" i="32"/>
  <c r="D359" i="32"/>
  <c r="P22" i="35"/>
  <c r="D345" i="38"/>
  <c r="D350" i="38"/>
  <c r="D352" i="38"/>
  <c r="D354" i="38"/>
  <c r="D356" i="38"/>
  <c r="D360" i="38"/>
  <c r="D340" i="38"/>
  <c r="D343" i="38"/>
  <c r="D346" i="38"/>
  <c r="D349" i="38"/>
  <c r="D351" i="38"/>
  <c r="D353" i="38"/>
  <c r="D355" i="38"/>
  <c r="D357" i="38"/>
  <c r="D359" i="38"/>
  <c r="D338" i="38"/>
  <c r="D341" i="38"/>
  <c r="D344" i="38"/>
  <c r="D347" i="38"/>
  <c r="D339" i="38"/>
  <c r="D342" i="38"/>
  <c r="D348" i="38"/>
  <c r="D358" i="38"/>
  <c r="D343" i="36"/>
  <c r="D350" i="36"/>
  <c r="D357" i="36"/>
  <c r="D341" i="36"/>
  <c r="D347" i="36"/>
  <c r="D343" i="32"/>
  <c r="D350" i="32"/>
  <c r="D357" i="32"/>
  <c r="D341" i="32"/>
  <c r="D347" i="32"/>
  <c r="D26" i="36"/>
  <c r="O19" i="42" l="1"/>
  <c r="D24" i="38"/>
  <c r="D18" i="38"/>
  <c r="D9" i="38"/>
  <c r="O21" i="42"/>
  <c r="O17" i="42"/>
  <c r="O20" i="42"/>
  <c r="O23" i="42"/>
  <c r="H361" i="38"/>
  <c r="O24" i="42"/>
  <c r="O18" i="42"/>
  <c r="D336" i="38"/>
  <c r="D20" i="38"/>
  <c r="D23" i="38"/>
  <c r="D21" i="38"/>
  <c r="D19" i="38"/>
  <c r="D10" i="38"/>
  <c r="D17" i="38"/>
  <c r="D16" i="38"/>
  <c r="D15" i="38"/>
  <c r="D14" i="38"/>
  <c r="D13" i="38"/>
  <c r="D12" i="38"/>
  <c r="D4" i="38"/>
  <c r="D8" i="38"/>
  <c r="D6" i="38"/>
  <c r="D11" i="38"/>
  <c r="D336" i="36"/>
  <c r="D336" i="1"/>
  <c r="O22" i="42"/>
  <c r="P22" i="42" s="1"/>
  <c r="D336" i="32"/>
  <c r="F25" i="47"/>
  <c r="B348" i="1"/>
  <c r="C26" i="31"/>
  <c r="E26" i="33" s="1"/>
  <c r="B360" i="30"/>
  <c r="E360" i="30"/>
  <c r="B26" i="31"/>
  <c r="C3" i="31"/>
  <c r="E3" i="33" s="1"/>
  <c r="B338" i="1"/>
  <c r="B338" i="41" s="1"/>
  <c r="B339" i="1"/>
  <c r="B339" i="41" s="1"/>
  <c r="B340" i="1"/>
  <c r="B340" i="41" s="1"/>
  <c r="B341" i="1"/>
  <c r="B341" i="41" s="1"/>
  <c r="B342" i="1"/>
  <c r="B342" i="41" s="1"/>
  <c r="B343" i="1"/>
  <c r="B344" i="1"/>
  <c r="B345" i="1"/>
  <c r="B346" i="1"/>
  <c r="B347" i="1"/>
  <c r="B349" i="1"/>
  <c r="B350" i="1"/>
  <c r="B351" i="1"/>
  <c r="B352" i="1"/>
  <c r="B353" i="1"/>
  <c r="B354" i="1"/>
  <c r="B355" i="1"/>
  <c r="B356" i="1"/>
  <c r="B356" i="41" s="1"/>
  <c r="B357" i="1"/>
  <c r="B358" i="1"/>
  <c r="B359" i="1"/>
  <c r="B22" i="30"/>
  <c r="C22" i="30"/>
  <c r="E22" i="30"/>
  <c r="B2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B96" i="30"/>
  <c r="B97" i="30"/>
  <c r="B98" i="30"/>
  <c r="B99" i="30"/>
  <c r="B100" i="30"/>
  <c r="B101" i="30"/>
  <c r="B102" i="30"/>
  <c r="B103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B116" i="30"/>
  <c r="B117" i="30"/>
  <c r="B118" i="30"/>
  <c r="B119" i="30"/>
  <c r="B120" i="30"/>
  <c r="B121" i="30"/>
  <c r="B122" i="30"/>
  <c r="B123" i="30"/>
  <c r="B124" i="30"/>
  <c r="B125" i="30"/>
  <c r="B126" i="30"/>
  <c r="B127" i="30"/>
  <c r="B128" i="30"/>
  <c r="B129" i="30"/>
  <c r="B130" i="30"/>
  <c r="B131" i="30"/>
  <c r="B132" i="30"/>
  <c r="B133" i="30"/>
  <c r="B134" i="30"/>
  <c r="B135" i="30"/>
  <c r="B136" i="30"/>
  <c r="B137" i="30"/>
  <c r="B138" i="30"/>
  <c r="B139" i="30"/>
  <c r="B140" i="30"/>
  <c r="B141" i="30"/>
  <c r="B142" i="30"/>
  <c r="B143" i="30"/>
  <c r="B144" i="30"/>
  <c r="B145" i="30"/>
  <c r="B146" i="30"/>
  <c r="B147" i="30"/>
  <c r="B148" i="30"/>
  <c r="B149" i="30"/>
  <c r="B150" i="30"/>
  <c r="B151" i="30"/>
  <c r="B152" i="30"/>
  <c r="B153" i="30"/>
  <c r="B154" i="30"/>
  <c r="B155" i="30"/>
  <c r="B156" i="30"/>
  <c r="B157" i="30"/>
  <c r="B158" i="30"/>
  <c r="B159" i="30"/>
  <c r="B160" i="30"/>
  <c r="B161" i="30"/>
  <c r="B162" i="30"/>
  <c r="B163" i="30"/>
  <c r="B164" i="30"/>
  <c r="B165" i="30"/>
  <c r="B166" i="30"/>
  <c r="B167" i="30"/>
  <c r="B168" i="30"/>
  <c r="B169" i="30"/>
  <c r="B170" i="30"/>
  <c r="B171" i="30"/>
  <c r="B172" i="30"/>
  <c r="B173" i="30"/>
  <c r="B174" i="30"/>
  <c r="B175" i="30"/>
  <c r="B176" i="30"/>
  <c r="B177" i="30"/>
  <c r="B178" i="30"/>
  <c r="B179" i="30"/>
  <c r="B180" i="30"/>
  <c r="B181" i="30"/>
  <c r="B182" i="30"/>
  <c r="B183" i="30"/>
  <c r="B184" i="30"/>
  <c r="B185" i="30"/>
  <c r="B186" i="30"/>
  <c r="B187" i="30"/>
  <c r="B188" i="30"/>
  <c r="B189" i="30"/>
  <c r="B190" i="30"/>
  <c r="B191" i="30"/>
  <c r="B192" i="30"/>
  <c r="B193" i="30"/>
  <c r="B194" i="30"/>
  <c r="B195" i="30"/>
  <c r="B196" i="30"/>
  <c r="B197" i="30"/>
  <c r="B198" i="30"/>
  <c r="B199" i="30"/>
  <c r="B200" i="30"/>
  <c r="B201" i="30"/>
  <c r="B202" i="30"/>
  <c r="B203" i="30"/>
  <c r="B204" i="30"/>
  <c r="B205" i="30"/>
  <c r="B206" i="30"/>
  <c r="B207" i="30"/>
  <c r="B208" i="30"/>
  <c r="B209" i="30"/>
  <c r="B210" i="30"/>
  <c r="B211" i="30"/>
  <c r="B212" i="30"/>
  <c r="B213" i="30"/>
  <c r="B214" i="30"/>
  <c r="B215" i="30"/>
  <c r="B216" i="30"/>
  <c r="B217" i="30"/>
  <c r="B218" i="30"/>
  <c r="B219" i="30"/>
  <c r="B220" i="30"/>
  <c r="B221" i="30"/>
  <c r="B222" i="30"/>
  <c r="B223" i="30"/>
  <c r="B224" i="30"/>
  <c r="B225" i="30"/>
  <c r="B226" i="30"/>
  <c r="B227" i="30"/>
  <c r="B228" i="30"/>
  <c r="B229" i="30"/>
  <c r="B230" i="30"/>
  <c r="B231" i="30"/>
  <c r="B232" i="30"/>
  <c r="B233" i="30"/>
  <c r="B234" i="30"/>
  <c r="B235" i="30"/>
  <c r="B236" i="30"/>
  <c r="B237" i="30"/>
  <c r="B238" i="30"/>
  <c r="B239" i="30"/>
  <c r="B240" i="30"/>
  <c r="B241" i="30"/>
  <c r="B242" i="30"/>
  <c r="B243" i="30"/>
  <c r="B244" i="30"/>
  <c r="B245" i="30"/>
  <c r="B246" i="30"/>
  <c r="B247" i="30"/>
  <c r="B248" i="30"/>
  <c r="B249" i="30"/>
  <c r="B250" i="30"/>
  <c r="B251" i="30"/>
  <c r="B252" i="30"/>
  <c r="B253" i="30"/>
  <c r="B254" i="30"/>
  <c r="B255" i="30"/>
  <c r="B256" i="30"/>
  <c r="B257" i="30"/>
  <c r="B258" i="30"/>
  <c r="B259" i="30"/>
  <c r="B260" i="30"/>
  <c r="B261" i="30"/>
  <c r="B262" i="30"/>
  <c r="B263" i="30"/>
  <c r="B264" i="30"/>
  <c r="B265" i="30"/>
  <c r="B266" i="30"/>
  <c r="B267" i="30"/>
  <c r="B268" i="30"/>
  <c r="B269" i="30"/>
  <c r="B270" i="30"/>
  <c r="B271" i="30"/>
  <c r="B272" i="30"/>
  <c r="B273" i="30"/>
  <c r="B274" i="30"/>
  <c r="B275" i="30"/>
  <c r="B276" i="30"/>
  <c r="B277" i="30"/>
  <c r="B278" i="30"/>
  <c r="B279" i="30"/>
  <c r="B280" i="30"/>
  <c r="B281" i="30"/>
  <c r="B282" i="30"/>
  <c r="B283" i="30"/>
  <c r="B284" i="30"/>
  <c r="B285" i="30"/>
  <c r="B286" i="30"/>
  <c r="B287" i="30"/>
  <c r="B288" i="30"/>
  <c r="B289" i="30"/>
  <c r="B290" i="30"/>
  <c r="B291" i="30"/>
  <c r="B292" i="30"/>
  <c r="B293" i="30"/>
  <c r="B294" i="30"/>
  <c r="B295" i="30"/>
  <c r="B296" i="30"/>
  <c r="B297" i="30"/>
  <c r="B298" i="30"/>
  <c r="B299" i="30"/>
  <c r="B300" i="30"/>
  <c r="B301" i="30"/>
  <c r="B302" i="30"/>
  <c r="B303" i="30"/>
  <c r="B304" i="30"/>
  <c r="B305" i="30"/>
  <c r="B306" i="30"/>
  <c r="B307" i="30"/>
  <c r="B308" i="30"/>
  <c r="B309" i="30"/>
  <c r="B310" i="30"/>
  <c r="B311" i="30"/>
  <c r="B312" i="30"/>
  <c r="B313" i="30"/>
  <c r="B314" i="30"/>
  <c r="B315" i="30"/>
  <c r="B316" i="30"/>
  <c r="B317" i="30"/>
  <c r="B318" i="30"/>
  <c r="B319" i="30"/>
  <c r="B320" i="30"/>
  <c r="B321" i="30"/>
  <c r="B322" i="30"/>
  <c r="B323" i="30"/>
  <c r="B324" i="30"/>
  <c r="B325" i="30"/>
  <c r="B326" i="30"/>
  <c r="B327" i="30"/>
  <c r="B328" i="30"/>
  <c r="B329" i="30"/>
  <c r="B330" i="30"/>
  <c r="B331" i="30"/>
  <c r="B332" i="30"/>
  <c r="B333" i="30"/>
  <c r="B334" i="30"/>
  <c r="B335" i="30"/>
  <c r="B336" i="30"/>
  <c r="C4" i="30"/>
  <c r="C5" i="30"/>
  <c r="C6" i="30"/>
  <c r="C7" i="30"/>
  <c r="C8" i="30"/>
  <c r="D8" i="35" s="1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3" i="30"/>
  <c r="C25" i="30"/>
  <c r="C24" i="30"/>
  <c r="D25" i="47" l="1"/>
  <c r="D25" i="35"/>
  <c r="D20" i="47"/>
  <c r="D20" i="35"/>
  <c r="D19" i="47"/>
  <c r="D19" i="35"/>
  <c r="D24" i="47"/>
  <c r="D24" i="35"/>
  <c r="D21" i="47"/>
  <c r="D21" i="35"/>
  <c r="D18" i="35"/>
  <c r="D18" i="47"/>
  <c r="D17" i="47"/>
  <c r="D17" i="35"/>
  <c r="D23" i="47"/>
  <c r="D23" i="35"/>
  <c r="D22" i="35"/>
  <c r="D22" i="47"/>
  <c r="B354" i="32"/>
  <c r="B354" i="41"/>
  <c r="B354" i="45"/>
  <c r="B354" i="43"/>
  <c r="B354" i="47"/>
  <c r="B354" i="44"/>
  <c r="B354" i="39"/>
  <c r="B354" i="40"/>
  <c r="B354" i="35"/>
  <c r="B354" i="42"/>
  <c r="B354" i="38"/>
  <c r="B354" i="36"/>
  <c r="B347" i="41"/>
  <c r="B347" i="48"/>
  <c r="B347" i="47"/>
  <c r="B359" i="32"/>
  <c r="B359" i="41"/>
  <c r="B359" i="48"/>
  <c r="B359" i="45"/>
  <c r="B359" i="43"/>
  <c r="B359" i="40"/>
  <c r="B359" i="44"/>
  <c r="B359" i="47"/>
  <c r="B359" i="39"/>
  <c r="B359" i="35"/>
  <c r="B359" i="42"/>
  <c r="B359" i="38"/>
  <c r="B359" i="36"/>
  <c r="B353" i="32"/>
  <c r="B353" i="41"/>
  <c r="B353" i="45"/>
  <c r="B353" i="44"/>
  <c r="B353" i="39"/>
  <c r="B353" i="43"/>
  <c r="B353" i="40"/>
  <c r="B353" i="47"/>
  <c r="B353" i="35"/>
  <c r="B353" i="42"/>
  <c r="B353" i="38"/>
  <c r="B353" i="36"/>
  <c r="B346" i="41"/>
  <c r="B346" i="48"/>
  <c r="B346" i="47"/>
  <c r="B358" i="32"/>
  <c r="B358" i="41"/>
  <c r="B358" i="40"/>
  <c r="B358" i="43"/>
  <c r="B358" i="44"/>
  <c r="B358" i="47"/>
  <c r="B358" i="39"/>
  <c r="B358" i="38"/>
  <c r="B358" i="36"/>
  <c r="B358" i="35"/>
  <c r="B358" i="42"/>
  <c r="B352" i="41"/>
  <c r="B352" i="45"/>
  <c r="B352" i="48"/>
  <c r="B352" i="47"/>
  <c r="B345" i="48"/>
  <c r="B345" i="41"/>
  <c r="B345" i="47"/>
  <c r="B357" i="32"/>
  <c r="B357" i="41"/>
  <c r="B357" i="47"/>
  <c r="B357" i="43"/>
  <c r="B357" i="44"/>
  <c r="B357" i="39"/>
  <c r="B357" i="40"/>
  <c r="B357" i="38"/>
  <c r="B357" i="36"/>
  <c r="B357" i="35"/>
  <c r="B357" i="42"/>
  <c r="B351" i="48"/>
  <c r="B351" i="41"/>
  <c r="B351" i="45"/>
  <c r="B351" i="47"/>
  <c r="B351" i="43"/>
  <c r="B351" i="35"/>
  <c r="B351" i="42"/>
  <c r="B344" i="41"/>
  <c r="B344" i="47"/>
  <c r="B348" i="41"/>
  <c r="B348" i="48"/>
  <c r="B348" i="47"/>
  <c r="B350" i="48"/>
  <c r="B350" i="45"/>
  <c r="B350" i="41"/>
  <c r="B350" i="47"/>
  <c r="B350" i="43"/>
  <c r="B350" i="42"/>
  <c r="B343" i="47"/>
  <c r="B343" i="41"/>
  <c r="B355" i="32"/>
  <c r="B355" i="41"/>
  <c r="B355" i="45"/>
  <c r="B355" i="47"/>
  <c r="B355" i="43"/>
  <c r="B355" i="44"/>
  <c r="B355" i="39"/>
  <c r="B355" i="40"/>
  <c r="B355" i="38"/>
  <c r="B355" i="36"/>
  <c r="B355" i="42"/>
  <c r="B355" i="35"/>
  <c r="B349" i="45"/>
  <c r="B349" i="41"/>
  <c r="B349" i="48"/>
  <c r="B349" i="47"/>
  <c r="E26" i="47"/>
  <c r="E26" i="35"/>
  <c r="B356" i="32"/>
  <c r="B356" i="45"/>
  <c r="B356" i="43"/>
  <c r="B356" i="40"/>
  <c r="B356" i="39"/>
  <c r="B356" i="44"/>
  <c r="B356" i="47"/>
  <c r="B356" i="42"/>
  <c r="B356" i="36"/>
  <c r="B356" i="38"/>
  <c r="B356" i="35"/>
  <c r="B352" i="32"/>
  <c r="B352" i="43"/>
  <c r="B352" i="44"/>
  <c r="B352" i="39"/>
  <c r="B352" i="40"/>
  <c r="B352" i="36"/>
  <c r="B352" i="42"/>
  <c r="B352" i="38"/>
  <c r="B352" i="35"/>
  <c r="F25" i="42"/>
  <c r="O25" i="42" s="1"/>
  <c r="H359" i="32"/>
  <c r="F25" i="35"/>
  <c r="C103" i="1"/>
  <c r="C104" i="1"/>
  <c r="C105" i="1"/>
  <c r="C106" i="1"/>
  <c r="C107" i="1"/>
  <c r="C108" i="1"/>
  <c r="C338" i="33"/>
  <c r="D338" i="33"/>
  <c r="O338" i="33"/>
  <c r="C339" i="33"/>
  <c r="D339" i="33"/>
  <c r="O339" i="33"/>
  <c r="C340" i="33"/>
  <c r="D340" i="33"/>
  <c r="O340" i="33"/>
  <c r="C341" i="33"/>
  <c r="D341" i="33"/>
  <c r="O341" i="33"/>
  <c r="C342" i="33"/>
  <c r="D342" i="33"/>
  <c r="O342" i="33"/>
  <c r="C343" i="33"/>
  <c r="D343" i="33"/>
  <c r="O343" i="33"/>
  <c r="C344" i="33"/>
  <c r="D344" i="33"/>
  <c r="O344" i="33"/>
  <c r="C345" i="33"/>
  <c r="D345" i="33"/>
  <c r="O345" i="33"/>
  <c r="C346" i="33"/>
  <c r="D346" i="33"/>
  <c r="O346" i="33"/>
  <c r="C347" i="33"/>
  <c r="D347" i="33"/>
  <c r="O347" i="33"/>
  <c r="C348" i="33"/>
  <c r="D348" i="33"/>
  <c r="O348" i="33"/>
  <c r="C349" i="33"/>
  <c r="D349" i="33"/>
  <c r="O349" i="33"/>
  <c r="C350" i="33"/>
  <c r="D350" i="33"/>
  <c r="O350" i="33"/>
  <c r="C351" i="33"/>
  <c r="D351" i="33"/>
  <c r="O351" i="33"/>
  <c r="C352" i="33"/>
  <c r="D352" i="33"/>
  <c r="O352" i="33"/>
  <c r="C353" i="33"/>
  <c r="D353" i="33"/>
  <c r="O353" i="33"/>
  <c r="C354" i="33"/>
  <c r="D354" i="33"/>
  <c r="O354" i="33"/>
  <c r="C355" i="33"/>
  <c r="D355" i="33"/>
  <c r="O355" i="33"/>
  <c r="C356" i="33"/>
  <c r="D356" i="33"/>
  <c r="O356" i="33"/>
  <c r="C357" i="33"/>
  <c r="D357" i="33"/>
  <c r="O357" i="33"/>
  <c r="C358" i="33"/>
  <c r="D358" i="33"/>
  <c r="O358" i="33"/>
  <c r="C359" i="33"/>
  <c r="E339" i="31"/>
  <c r="E340" i="31"/>
  <c r="E341" i="31"/>
  <c r="E342" i="31"/>
  <c r="E343" i="31"/>
  <c r="E344" i="31"/>
  <c r="E345" i="31"/>
  <c r="E346" i="31"/>
  <c r="E347" i="31"/>
  <c r="B4" i="33"/>
  <c r="B5" i="33"/>
  <c r="B6" i="33"/>
  <c r="B7" i="33"/>
  <c r="B8" i="33"/>
  <c r="B9" i="33"/>
  <c r="B10" i="33"/>
  <c r="B11" i="33"/>
  <c r="B12" i="33"/>
  <c r="C4" i="33"/>
  <c r="O4" i="33" s="1"/>
  <c r="C5" i="33"/>
  <c r="O5" i="33" s="1"/>
  <c r="P5" i="33" s="1"/>
  <c r="C6" i="33"/>
  <c r="O6" i="33" s="1"/>
  <c r="C7" i="33"/>
  <c r="O7" i="33" s="1"/>
  <c r="P7" i="33" s="1"/>
  <c r="C8" i="33"/>
  <c r="O8" i="33" s="1"/>
  <c r="C9" i="33"/>
  <c r="O9" i="33" s="1"/>
  <c r="C10" i="33"/>
  <c r="O10" i="33" s="1"/>
  <c r="C11" i="33"/>
  <c r="O11" i="33" s="1"/>
  <c r="C12" i="33"/>
  <c r="O12" i="33" s="1"/>
  <c r="D8" i="33"/>
  <c r="D9" i="33"/>
  <c r="D10" i="33"/>
  <c r="D11" i="33"/>
  <c r="D12" i="33"/>
  <c r="I4" i="33"/>
  <c r="I5" i="33"/>
  <c r="I6" i="33"/>
  <c r="I7" i="33"/>
  <c r="I8" i="33"/>
  <c r="I9" i="33"/>
  <c r="I10" i="33"/>
  <c r="I11" i="33"/>
  <c r="I12" i="33"/>
  <c r="J4" i="33"/>
  <c r="J5" i="33"/>
  <c r="J6" i="33"/>
  <c r="J7" i="33"/>
  <c r="J8" i="33"/>
  <c r="J9" i="33"/>
  <c r="J10" i="33"/>
  <c r="J11" i="33"/>
  <c r="J12" i="33"/>
  <c r="K4" i="33"/>
  <c r="K5" i="33"/>
  <c r="K6" i="33"/>
  <c r="K7" i="33"/>
  <c r="K8" i="33"/>
  <c r="K9" i="33"/>
  <c r="K10" i="33"/>
  <c r="K11" i="33"/>
  <c r="K12" i="33"/>
  <c r="L4" i="33"/>
  <c r="L5" i="33"/>
  <c r="L6" i="33"/>
  <c r="L7" i="33"/>
  <c r="L8" i="33"/>
  <c r="L9" i="33"/>
  <c r="L10" i="33"/>
  <c r="L11" i="33"/>
  <c r="L12" i="33"/>
  <c r="M4" i="33"/>
  <c r="M5" i="33"/>
  <c r="M6" i="33"/>
  <c r="M7" i="33"/>
  <c r="M8" i="33"/>
  <c r="M9" i="33"/>
  <c r="M10" i="33"/>
  <c r="M11" i="33"/>
  <c r="M12" i="33"/>
  <c r="N4" i="33"/>
  <c r="N5" i="33"/>
  <c r="N6" i="33"/>
  <c r="N7" i="33"/>
  <c r="N8" i="33"/>
  <c r="N9" i="33"/>
  <c r="N10" i="33"/>
  <c r="N11" i="33"/>
  <c r="N12" i="33"/>
  <c r="D7" i="31"/>
  <c r="B4" i="31"/>
  <c r="B5" i="31"/>
  <c r="B6" i="31"/>
  <c r="B7" i="31"/>
  <c r="B8" i="31"/>
  <c r="B9" i="31"/>
  <c r="B10" i="31"/>
  <c r="B11" i="31"/>
  <c r="B12" i="31"/>
  <c r="E4" i="31"/>
  <c r="E5" i="31"/>
  <c r="E6" i="31"/>
  <c r="E7" i="31"/>
  <c r="E8" i="31"/>
  <c r="E9" i="31"/>
  <c r="E10" i="31"/>
  <c r="E11" i="31"/>
  <c r="E12" i="3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42" i="30"/>
  <c r="H343" i="30"/>
  <c r="H344" i="30"/>
  <c r="H345" i="30"/>
  <c r="H346" i="30"/>
  <c r="H355" i="30"/>
  <c r="H356" i="30"/>
  <c r="E355" i="30"/>
  <c r="E345" i="30"/>
  <c r="E346" i="30"/>
  <c r="E347" i="30"/>
  <c r="E348" i="30"/>
  <c r="E349" i="30"/>
  <c r="E350" i="30"/>
  <c r="E351" i="30"/>
  <c r="H358" i="30"/>
  <c r="E24" i="30"/>
  <c r="E21" i="30"/>
  <c r="B355" i="30"/>
  <c r="E355" i="1"/>
  <c r="E356" i="1"/>
  <c r="E357" i="1"/>
  <c r="D22" i="1"/>
  <c r="D26" i="1"/>
  <c r="E26" i="1"/>
  <c r="E23" i="1"/>
  <c r="E18" i="1"/>
  <c r="E25" i="30"/>
  <c r="E8" i="30"/>
  <c r="E9" i="30"/>
  <c r="E10" i="30"/>
  <c r="E11" i="30"/>
  <c r="E12" i="30"/>
  <c r="E359" i="1"/>
  <c r="B345" i="30"/>
  <c r="E347" i="1"/>
  <c r="E348" i="1"/>
  <c r="E349" i="1"/>
  <c r="E350" i="1"/>
  <c r="E351" i="1"/>
  <c r="E16" i="1"/>
  <c r="E17" i="1"/>
  <c r="E19" i="1"/>
  <c r="E20" i="1"/>
  <c r="E21" i="1"/>
  <c r="E22" i="1"/>
  <c r="E361" i="45"/>
  <c r="E360" i="45"/>
  <c r="E358" i="45"/>
  <c r="E357" i="45"/>
  <c r="E348" i="45"/>
  <c r="E331" i="45"/>
  <c r="E329" i="45"/>
  <c r="E328" i="45"/>
  <c r="E327" i="45"/>
  <c r="E326" i="45"/>
  <c r="C326" i="45"/>
  <c r="C325" i="45"/>
  <c r="C324" i="45"/>
  <c r="C323" i="45"/>
  <c r="E321" i="45"/>
  <c r="E320" i="45"/>
  <c r="C320" i="45"/>
  <c r="E319" i="45"/>
  <c r="C319" i="45"/>
  <c r="E318" i="45"/>
  <c r="C318" i="45"/>
  <c r="E317" i="45"/>
  <c r="C317" i="45"/>
  <c r="E316" i="45"/>
  <c r="C316" i="45"/>
  <c r="E314" i="45"/>
  <c r="E313" i="45"/>
  <c r="E312" i="45"/>
  <c r="E311" i="45"/>
  <c r="E310" i="45"/>
  <c r="E309" i="45"/>
  <c r="E308" i="45"/>
  <c r="E307" i="45"/>
  <c r="E306" i="45"/>
  <c r="E305" i="45"/>
  <c r="C305" i="45"/>
  <c r="E304" i="45"/>
  <c r="C304" i="45"/>
  <c r="E303" i="45"/>
  <c r="C303" i="45"/>
  <c r="C302" i="45"/>
  <c r="C301" i="45"/>
  <c r="C300" i="45"/>
  <c r="C299" i="45"/>
  <c r="C298" i="45"/>
  <c r="C297" i="45"/>
  <c r="C296" i="45"/>
  <c r="C295" i="45"/>
  <c r="E293" i="45"/>
  <c r="E292" i="45"/>
  <c r="E291" i="45"/>
  <c r="E290" i="45"/>
  <c r="E289" i="45"/>
  <c r="E288" i="45"/>
  <c r="E287" i="45"/>
  <c r="E286" i="45"/>
  <c r="E285" i="45"/>
  <c r="E284" i="45"/>
  <c r="E283" i="45"/>
  <c r="E282" i="45"/>
  <c r="E281" i="45"/>
  <c r="E280" i="45"/>
  <c r="E279" i="45"/>
  <c r="E278" i="45"/>
  <c r="E277" i="45"/>
  <c r="C277" i="45"/>
  <c r="E276" i="45"/>
  <c r="C276" i="45"/>
  <c r="C275" i="45"/>
  <c r="C274" i="45"/>
  <c r="E271" i="45"/>
  <c r="C271" i="45"/>
  <c r="D271" i="45" s="1"/>
  <c r="E270" i="45"/>
  <c r="C270" i="45"/>
  <c r="D270" i="45" s="1"/>
  <c r="E269" i="45"/>
  <c r="C269" i="45"/>
  <c r="D269" i="45" s="1"/>
  <c r="E268" i="45"/>
  <c r="C268" i="45"/>
  <c r="D268" i="45" s="1"/>
  <c r="E267" i="45"/>
  <c r="C267" i="45"/>
  <c r="D267" i="45" s="1"/>
  <c r="E266" i="45"/>
  <c r="C266" i="45"/>
  <c r="D266" i="45" s="1"/>
  <c r="E265" i="45"/>
  <c r="C265" i="45"/>
  <c r="D265" i="45" s="1"/>
  <c r="E264" i="45"/>
  <c r="C264" i="45"/>
  <c r="D264" i="45" s="1"/>
  <c r="C263" i="45"/>
  <c r="C262" i="45"/>
  <c r="D262" i="45" s="1"/>
  <c r="E260" i="45"/>
  <c r="D260" i="45"/>
  <c r="E259" i="45"/>
  <c r="D259" i="45"/>
  <c r="E258" i="45"/>
  <c r="D258" i="45"/>
  <c r="E257" i="45"/>
  <c r="C257" i="45"/>
  <c r="D257" i="45" s="1"/>
  <c r="C256" i="45"/>
  <c r="D256" i="45" s="1"/>
  <c r="C255" i="45"/>
  <c r="C254" i="45"/>
  <c r="C253" i="45"/>
  <c r="D253" i="45" s="1"/>
  <c r="C252" i="45"/>
  <c r="D252" i="45" s="1"/>
  <c r="C251" i="45"/>
  <c r="D251" i="45" s="1"/>
  <c r="C250" i="45"/>
  <c r="D250" i="45" s="1"/>
  <c r="C249" i="45"/>
  <c r="D249" i="45" s="1"/>
  <c r="E247" i="45"/>
  <c r="D247" i="45"/>
  <c r="E246" i="45"/>
  <c r="D246" i="45"/>
  <c r="E245" i="45"/>
  <c r="D245" i="45"/>
  <c r="E244" i="45"/>
  <c r="D244" i="45"/>
  <c r="E243" i="45"/>
  <c r="C243" i="45"/>
  <c r="D243" i="45" s="1"/>
  <c r="E242" i="45"/>
  <c r="C242" i="45"/>
  <c r="E241" i="45"/>
  <c r="C241" i="45"/>
  <c r="D241" i="45" s="1"/>
  <c r="C240" i="45"/>
  <c r="E235" i="45"/>
  <c r="E234" i="45"/>
  <c r="E233" i="45"/>
  <c r="C233" i="45"/>
  <c r="E232" i="45"/>
  <c r="C232" i="45"/>
  <c r="E231" i="45"/>
  <c r="E230" i="45"/>
  <c r="E229" i="45"/>
  <c r="E228" i="45"/>
  <c r="C228" i="45"/>
  <c r="E227" i="45"/>
  <c r="C227" i="45"/>
  <c r="E226" i="45"/>
  <c r="C226" i="45"/>
  <c r="E225" i="45"/>
  <c r="C225" i="45"/>
  <c r="E224" i="45"/>
  <c r="C224" i="45"/>
  <c r="E223" i="45"/>
  <c r="C223" i="45"/>
  <c r="E222" i="45"/>
  <c r="C222" i="45"/>
  <c r="E221" i="45"/>
  <c r="C221" i="45"/>
  <c r="E220" i="45"/>
  <c r="C220" i="45"/>
  <c r="E219" i="45"/>
  <c r="C219" i="45"/>
  <c r="E218" i="45"/>
  <c r="C218" i="45"/>
  <c r="E217" i="45"/>
  <c r="C217" i="45"/>
  <c r="E216" i="45"/>
  <c r="C216" i="45"/>
  <c r="E215" i="45"/>
  <c r="C215" i="45"/>
  <c r="E214" i="45"/>
  <c r="E209" i="45"/>
  <c r="C209" i="45"/>
  <c r="C208" i="45"/>
  <c r="C207" i="45"/>
  <c r="C206" i="45"/>
  <c r="C205" i="45"/>
  <c r="C204" i="45"/>
  <c r="C203" i="45"/>
  <c r="C202" i="45"/>
  <c r="C201" i="45"/>
  <c r="C199" i="45"/>
  <c r="C198" i="45"/>
  <c r="C197" i="45"/>
  <c r="C196" i="45"/>
  <c r="C195" i="45"/>
  <c r="C194" i="45"/>
  <c r="C193" i="45"/>
  <c r="C192" i="45"/>
  <c r="C191" i="45"/>
  <c r="C190" i="45"/>
  <c r="C189" i="45"/>
  <c r="C188" i="45"/>
  <c r="C187" i="45"/>
  <c r="C186" i="45"/>
  <c r="C185" i="45"/>
  <c r="C184" i="45"/>
  <c r="C183" i="45"/>
  <c r="E181" i="45"/>
  <c r="E180" i="45"/>
  <c r="E179" i="45"/>
  <c r="E178" i="45"/>
  <c r="C178" i="45"/>
  <c r="C177" i="45"/>
  <c r="C176" i="45"/>
  <c r="C175" i="45"/>
  <c r="C174" i="45"/>
  <c r="C173" i="45"/>
  <c r="C172" i="45"/>
  <c r="C171" i="45"/>
  <c r="C170" i="45"/>
  <c r="C169" i="45"/>
  <c r="C168" i="45"/>
  <c r="E166" i="45"/>
  <c r="E165" i="45"/>
  <c r="C165" i="45"/>
  <c r="E164" i="45"/>
  <c r="C164" i="45"/>
  <c r="E163" i="45"/>
  <c r="C163" i="45"/>
  <c r="C162" i="45"/>
  <c r="C161" i="45"/>
  <c r="C160" i="45"/>
  <c r="C159" i="45"/>
  <c r="C158" i="45"/>
  <c r="C157" i="45"/>
  <c r="C156" i="45"/>
  <c r="C155" i="45"/>
  <c r="C154" i="45"/>
  <c r="C153" i="45"/>
  <c r="C152" i="45"/>
  <c r="C151" i="45"/>
  <c r="C150" i="45"/>
  <c r="C149" i="45"/>
  <c r="C148" i="45"/>
  <c r="C147" i="45"/>
  <c r="C146" i="45"/>
  <c r="E144" i="45"/>
  <c r="E143" i="45"/>
  <c r="E142" i="45"/>
  <c r="E141" i="45"/>
  <c r="C139" i="45"/>
  <c r="C138" i="45"/>
  <c r="C137" i="45"/>
  <c r="C136" i="45"/>
  <c r="C135" i="45"/>
  <c r="C134" i="45"/>
  <c r="C133" i="45"/>
  <c r="C132" i="45"/>
  <c r="E130" i="45"/>
  <c r="E129" i="45"/>
  <c r="E128" i="45"/>
  <c r="E127" i="45"/>
  <c r="E126" i="45"/>
  <c r="E125" i="45"/>
  <c r="E124" i="45"/>
  <c r="E123" i="45"/>
  <c r="C123" i="45"/>
  <c r="E122" i="45"/>
  <c r="C122" i="45"/>
  <c r="E121" i="45"/>
  <c r="C121" i="45"/>
  <c r="E120" i="45"/>
  <c r="C120" i="45"/>
  <c r="E119" i="45"/>
  <c r="C119" i="45"/>
  <c r="C118" i="45"/>
  <c r="C117" i="45"/>
  <c r="C116" i="45"/>
  <c r="C115" i="45"/>
  <c r="C114" i="45"/>
  <c r="C113" i="45"/>
  <c r="C112" i="45"/>
  <c r="C111" i="45"/>
  <c r="C110" i="45"/>
  <c r="C109" i="45"/>
  <c r="C108" i="45"/>
  <c r="C107" i="45"/>
  <c r="C106" i="45"/>
  <c r="C105" i="45"/>
  <c r="C104" i="45"/>
  <c r="C103" i="45"/>
  <c r="C102" i="45"/>
  <c r="C101" i="45"/>
  <c r="E99" i="45"/>
  <c r="C97" i="45"/>
  <c r="C96" i="45"/>
  <c r="C95" i="45"/>
  <c r="C94" i="45"/>
  <c r="C93" i="45"/>
  <c r="C92" i="45"/>
  <c r="C91" i="45"/>
  <c r="C90" i="45"/>
  <c r="C89" i="45"/>
  <c r="E86" i="45"/>
  <c r="E85" i="45"/>
  <c r="E84" i="45"/>
  <c r="E83" i="45"/>
  <c r="E82" i="45"/>
  <c r="C82" i="45"/>
  <c r="E81" i="45"/>
  <c r="C81" i="45"/>
  <c r="E80" i="45"/>
  <c r="C80" i="45"/>
  <c r="E79" i="45"/>
  <c r="C79" i="45"/>
  <c r="E78" i="45"/>
  <c r="C78" i="45"/>
  <c r="C77" i="45"/>
  <c r="C76" i="45"/>
  <c r="C75" i="45"/>
  <c r="C74" i="45"/>
  <c r="C73" i="45"/>
  <c r="C72" i="45"/>
  <c r="E69" i="45"/>
  <c r="C69" i="45"/>
  <c r="E68" i="45"/>
  <c r="C68" i="45"/>
  <c r="E67" i="45"/>
  <c r="C67" i="45"/>
  <c r="E66" i="45"/>
  <c r="C66" i="45"/>
  <c r="C65" i="45"/>
  <c r="C64" i="45"/>
  <c r="C63" i="45"/>
  <c r="C62" i="45"/>
  <c r="C61" i="45"/>
  <c r="E59" i="45"/>
  <c r="E58" i="45"/>
  <c r="E57" i="45"/>
  <c r="C57" i="45"/>
  <c r="E56" i="45"/>
  <c r="C56" i="45"/>
  <c r="C55" i="45"/>
  <c r="C54" i="45"/>
  <c r="C53" i="45"/>
  <c r="E51" i="45"/>
  <c r="C51" i="45"/>
  <c r="D51" i="45" s="1"/>
  <c r="C50" i="45"/>
  <c r="D50" i="45" s="1"/>
  <c r="C49" i="45"/>
  <c r="D49" i="45" s="1"/>
  <c r="E47" i="45"/>
  <c r="D47" i="45"/>
  <c r="E46" i="45"/>
  <c r="D46" i="45"/>
  <c r="E45" i="45"/>
  <c r="D45" i="45"/>
  <c r="E44" i="45"/>
  <c r="D44" i="45"/>
  <c r="E43" i="45"/>
  <c r="D43" i="45"/>
  <c r="E42" i="45"/>
  <c r="D42" i="45"/>
  <c r="E41" i="45"/>
  <c r="D41" i="45"/>
  <c r="E40" i="45"/>
  <c r="D40" i="45"/>
  <c r="E39" i="45"/>
  <c r="D39" i="45"/>
  <c r="E38" i="45"/>
  <c r="D38" i="45"/>
  <c r="E37" i="45"/>
  <c r="D37" i="45"/>
  <c r="C36" i="45"/>
  <c r="D36" i="45" s="1"/>
  <c r="C35" i="45"/>
  <c r="C34" i="45"/>
  <c r="C33" i="45"/>
  <c r="C32" i="45"/>
  <c r="D32" i="45" s="1"/>
  <c r="C31" i="45"/>
  <c r="D31" i="45" s="1"/>
  <c r="C30" i="45"/>
  <c r="C29" i="45"/>
  <c r="E361" i="44"/>
  <c r="E351" i="44"/>
  <c r="E350" i="44"/>
  <c r="E349" i="44"/>
  <c r="E348" i="44"/>
  <c r="D344" i="44"/>
  <c r="E331" i="44"/>
  <c r="E329" i="44"/>
  <c r="E328" i="44"/>
  <c r="E327" i="44"/>
  <c r="E326" i="44"/>
  <c r="C326" i="44"/>
  <c r="C325" i="44"/>
  <c r="C324" i="44"/>
  <c r="C323" i="44"/>
  <c r="E321" i="44"/>
  <c r="E320" i="44"/>
  <c r="C320" i="44"/>
  <c r="E319" i="44"/>
  <c r="C319" i="44"/>
  <c r="E318" i="44"/>
  <c r="C318" i="44"/>
  <c r="E317" i="44"/>
  <c r="C317" i="44"/>
  <c r="E316" i="44"/>
  <c r="C316" i="44"/>
  <c r="E314" i="44"/>
  <c r="E313" i="44"/>
  <c r="E312" i="44"/>
  <c r="E311" i="44"/>
  <c r="E310" i="44"/>
  <c r="E309" i="44"/>
  <c r="E308" i="44"/>
  <c r="E307" i="44"/>
  <c r="E306" i="44"/>
  <c r="E305" i="44"/>
  <c r="C305" i="44"/>
  <c r="E304" i="44"/>
  <c r="C304" i="44"/>
  <c r="E303" i="44"/>
  <c r="C303" i="44"/>
  <c r="C302" i="44"/>
  <c r="C301" i="44"/>
  <c r="C300" i="44"/>
  <c r="C299" i="44"/>
  <c r="C298" i="44"/>
  <c r="C297" i="44"/>
  <c r="C296" i="44"/>
  <c r="C295" i="44"/>
  <c r="E293" i="44"/>
  <c r="E292" i="44"/>
  <c r="E291" i="44"/>
  <c r="E290" i="44"/>
  <c r="E289" i="44"/>
  <c r="E288" i="44"/>
  <c r="E287" i="44"/>
  <c r="E286" i="44"/>
  <c r="E285" i="44"/>
  <c r="E284" i="44"/>
  <c r="E283" i="44"/>
  <c r="E282" i="44"/>
  <c r="E281" i="44"/>
  <c r="E280" i="44"/>
  <c r="E279" i="44"/>
  <c r="E278" i="44"/>
  <c r="E277" i="44"/>
  <c r="C277" i="44"/>
  <c r="E276" i="44"/>
  <c r="C276" i="44"/>
  <c r="C275" i="44"/>
  <c r="C274" i="44"/>
  <c r="E271" i="44"/>
  <c r="C271" i="44"/>
  <c r="D271" i="44" s="1"/>
  <c r="E270" i="44"/>
  <c r="C270" i="44"/>
  <c r="D270" i="44" s="1"/>
  <c r="E269" i="44"/>
  <c r="C269" i="44"/>
  <c r="D269" i="44" s="1"/>
  <c r="E268" i="44"/>
  <c r="C268" i="44"/>
  <c r="D268" i="44" s="1"/>
  <c r="E267" i="44"/>
  <c r="C267" i="44"/>
  <c r="D267" i="44" s="1"/>
  <c r="E266" i="44"/>
  <c r="C266" i="44"/>
  <c r="D266" i="44" s="1"/>
  <c r="E265" i="44"/>
  <c r="C265" i="44"/>
  <c r="E264" i="44"/>
  <c r="C264" i="44"/>
  <c r="D264" i="44" s="1"/>
  <c r="C263" i="44"/>
  <c r="D263" i="44" s="1"/>
  <c r="C262" i="44"/>
  <c r="D262" i="44" s="1"/>
  <c r="E260" i="44"/>
  <c r="D260" i="44"/>
  <c r="E259" i="44"/>
  <c r="D259" i="44"/>
  <c r="E258" i="44"/>
  <c r="D258" i="44"/>
  <c r="E257" i="44"/>
  <c r="C257" i="44"/>
  <c r="C256" i="44"/>
  <c r="D256" i="44" s="1"/>
  <c r="C255" i="44"/>
  <c r="D255" i="44" s="1"/>
  <c r="C254" i="44"/>
  <c r="C253" i="44"/>
  <c r="D253" i="44" s="1"/>
  <c r="C252" i="44"/>
  <c r="D252" i="44" s="1"/>
  <c r="C251" i="44"/>
  <c r="D251" i="44" s="1"/>
  <c r="C250" i="44"/>
  <c r="D250" i="44" s="1"/>
  <c r="C249" i="44"/>
  <c r="D249" i="44" s="1"/>
  <c r="E247" i="44"/>
  <c r="D247" i="44"/>
  <c r="E246" i="44"/>
  <c r="D246" i="44"/>
  <c r="E245" i="44"/>
  <c r="D245" i="44"/>
  <c r="E244" i="44"/>
  <c r="D244" i="44"/>
  <c r="E243" i="44"/>
  <c r="C243" i="44"/>
  <c r="D243" i="44" s="1"/>
  <c r="E242" i="44"/>
  <c r="C242" i="44"/>
  <c r="D242" i="44" s="1"/>
  <c r="E241" i="44"/>
  <c r="C241" i="44"/>
  <c r="D241" i="44" s="1"/>
  <c r="C240" i="44"/>
  <c r="D240" i="44" s="1"/>
  <c r="E235" i="44"/>
  <c r="E234" i="44"/>
  <c r="E233" i="44"/>
  <c r="C233" i="44"/>
  <c r="E232" i="44"/>
  <c r="C232" i="44"/>
  <c r="E231" i="44"/>
  <c r="E230" i="44"/>
  <c r="E229" i="44"/>
  <c r="E228" i="44"/>
  <c r="C228" i="44"/>
  <c r="E227" i="44"/>
  <c r="C227" i="44"/>
  <c r="E226" i="44"/>
  <c r="C226" i="44"/>
  <c r="E225" i="44"/>
  <c r="C225" i="44"/>
  <c r="E224" i="44"/>
  <c r="C224" i="44"/>
  <c r="E223" i="44"/>
  <c r="C223" i="44"/>
  <c r="E222" i="44"/>
  <c r="C222" i="44"/>
  <c r="E221" i="44"/>
  <c r="C221" i="44"/>
  <c r="E220" i="44"/>
  <c r="C220" i="44"/>
  <c r="E219" i="44"/>
  <c r="C219" i="44"/>
  <c r="E218" i="44"/>
  <c r="C218" i="44"/>
  <c r="E217" i="44"/>
  <c r="C217" i="44"/>
  <c r="E216" i="44"/>
  <c r="C216" i="44"/>
  <c r="E215" i="44"/>
  <c r="C215" i="44"/>
  <c r="E214" i="44"/>
  <c r="E209" i="44"/>
  <c r="C209" i="44"/>
  <c r="C208" i="44"/>
  <c r="C207" i="44"/>
  <c r="C206" i="44"/>
  <c r="C205" i="44"/>
  <c r="C204" i="44"/>
  <c r="C203" i="44"/>
  <c r="C202" i="44"/>
  <c r="C201" i="44"/>
  <c r="C199" i="44"/>
  <c r="C198" i="44"/>
  <c r="C197" i="44"/>
  <c r="C196" i="44"/>
  <c r="C195" i="44"/>
  <c r="C194" i="44"/>
  <c r="C193" i="44"/>
  <c r="C192" i="44"/>
  <c r="C191" i="44"/>
  <c r="C190" i="44"/>
  <c r="C189" i="44"/>
  <c r="C188" i="44"/>
  <c r="C187" i="44"/>
  <c r="C186" i="44"/>
  <c r="C185" i="44"/>
  <c r="C184" i="44"/>
  <c r="C183" i="44"/>
  <c r="E181" i="44"/>
  <c r="E180" i="44"/>
  <c r="E179" i="44"/>
  <c r="E178" i="44"/>
  <c r="C178" i="44"/>
  <c r="C177" i="44"/>
  <c r="C176" i="44"/>
  <c r="C175" i="44"/>
  <c r="C174" i="44"/>
  <c r="C173" i="44"/>
  <c r="C172" i="44"/>
  <c r="C171" i="44"/>
  <c r="C170" i="44"/>
  <c r="C169" i="44"/>
  <c r="C168" i="44"/>
  <c r="E166" i="44"/>
  <c r="E165" i="44"/>
  <c r="C165" i="44"/>
  <c r="E164" i="44"/>
  <c r="C164" i="44"/>
  <c r="E163" i="44"/>
  <c r="C163" i="44"/>
  <c r="C162" i="44"/>
  <c r="C161" i="44"/>
  <c r="C160" i="44"/>
  <c r="C159" i="44"/>
  <c r="C158" i="44"/>
  <c r="C157" i="44"/>
  <c r="C156" i="44"/>
  <c r="C155" i="44"/>
  <c r="C154" i="44"/>
  <c r="C153" i="44"/>
  <c r="C152" i="44"/>
  <c r="C151" i="44"/>
  <c r="C150" i="44"/>
  <c r="C149" i="44"/>
  <c r="C148" i="44"/>
  <c r="C147" i="44"/>
  <c r="C146" i="44"/>
  <c r="E144" i="44"/>
  <c r="E143" i="44"/>
  <c r="E142" i="44"/>
  <c r="E141" i="44"/>
  <c r="C139" i="44"/>
  <c r="C138" i="44"/>
  <c r="C137" i="44"/>
  <c r="C136" i="44"/>
  <c r="C135" i="44"/>
  <c r="C134" i="44"/>
  <c r="C133" i="44"/>
  <c r="C132" i="44"/>
  <c r="E130" i="44"/>
  <c r="E129" i="44"/>
  <c r="E128" i="44"/>
  <c r="E127" i="44"/>
  <c r="E126" i="44"/>
  <c r="E125" i="44"/>
  <c r="E124" i="44"/>
  <c r="E123" i="44"/>
  <c r="C123" i="44"/>
  <c r="E122" i="44"/>
  <c r="C122" i="44"/>
  <c r="E121" i="44"/>
  <c r="C121" i="44"/>
  <c r="E120" i="44"/>
  <c r="C120" i="44"/>
  <c r="E119" i="44"/>
  <c r="C119" i="44"/>
  <c r="C118" i="44"/>
  <c r="C117" i="44"/>
  <c r="C116" i="44"/>
  <c r="C115" i="44"/>
  <c r="C114" i="44"/>
  <c r="C113" i="44"/>
  <c r="C112" i="44"/>
  <c r="C111" i="44"/>
  <c r="C110" i="44"/>
  <c r="C109" i="44"/>
  <c r="C108" i="44"/>
  <c r="C107" i="44"/>
  <c r="C106" i="44"/>
  <c r="C105" i="44"/>
  <c r="C104" i="44"/>
  <c r="C103" i="44"/>
  <c r="C102" i="44"/>
  <c r="C101" i="44"/>
  <c r="E99" i="44"/>
  <c r="C95" i="44"/>
  <c r="C93" i="44"/>
  <c r="C92" i="44"/>
  <c r="C91" i="44"/>
  <c r="C90" i="44"/>
  <c r="C89" i="44"/>
  <c r="E86" i="44"/>
  <c r="E85" i="44"/>
  <c r="E84" i="44"/>
  <c r="E83" i="44"/>
  <c r="E82" i="44"/>
  <c r="C82" i="44"/>
  <c r="E81" i="44"/>
  <c r="C81" i="44"/>
  <c r="E80" i="44"/>
  <c r="C80" i="44"/>
  <c r="E79" i="44"/>
  <c r="C79" i="44"/>
  <c r="E78" i="44"/>
  <c r="C78" i="44"/>
  <c r="C77" i="44"/>
  <c r="C75" i="44"/>
  <c r="C74" i="44"/>
  <c r="C73" i="44"/>
  <c r="C72" i="44"/>
  <c r="E69" i="44"/>
  <c r="C69" i="44"/>
  <c r="E68" i="44"/>
  <c r="C68" i="44"/>
  <c r="E67" i="44"/>
  <c r="C67" i="44"/>
  <c r="E66" i="44"/>
  <c r="C66" i="44"/>
  <c r="C64" i="44"/>
  <c r="C63" i="44"/>
  <c r="C62" i="44"/>
  <c r="E59" i="44"/>
  <c r="E58" i="44"/>
  <c r="E57" i="44"/>
  <c r="C57" i="44"/>
  <c r="E56" i="44"/>
  <c r="C56" i="44"/>
  <c r="C55" i="44"/>
  <c r="C54" i="44"/>
  <c r="C53" i="44"/>
  <c r="E51" i="44"/>
  <c r="C51" i="44"/>
  <c r="D51" i="44" s="1"/>
  <c r="C50" i="44"/>
  <c r="D50" i="44" s="1"/>
  <c r="C49" i="44"/>
  <c r="E47" i="44"/>
  <c r="D47" i="44"/>
  <c r="E46" i="44"/>
  <c r="D46" i="44"/>
  <c r="E45" i="44"/>
  <c r="D45" i="44"/>
  <c r="E44" i="44"/>
  <c r="D44" i="44"/>
  <c r="E43" i="44"/>
  <c r="D43" i="44"/>
  <c r="E42" i="44"/>
  <c r="D42" i="44"/>
  <c r="E41" i="44"/>
  <c r="D41" i="44"/>
  <c r="E40" i="44"/>
  <c r="D40" i="44"/>
  <c r="E39" i="44"/>
  <c r="D39" i="44"/>
  <c r="E38" i="44"/>
  <c r="D38" i="44"/>
  <c r="E37" i="44"/>
  <c r="D37" i="44"/>
  <c r="C36" i="44"/>
  <c r="D36" i="44" s="1"/>
  <c r="C35" i="44"/>
  <c r="C34" i="44"/>
  <c r="C33" i="44"/>
  <c r="C32" i="44"/>
  <c r="D32" i="44" s="1"/>
  <c r="C31" i="44"/>
  <c r="D31" i="44" s="1"/>
  <c r="C30" i="44"/>
  <c r="C29" i="44"/>
  <c r="E361" i="41"/>
  <c r="E351" i="41"/>
  <c r="E350" i="41"/>
  <c r="E349" i="41"/>
  <c r="E348" i="41"/>
  <c r="E331" i="41"/>
  <c r="E329" i="41"/>
  <c r="E328" i="41"/>
  <c r="E327" i="41"/>
  <c r="E326" i="41"/>
  <c r="C326" i="41"/>
  <c r="C325" i="41"/>
  <c r="C324" i="41"/>
  <c r="C323" i="41"/>
  <c r="E321" i="41"/>
  <c r="E320" i="41"/>
  <c r="C320" i="41"/>
  <c r="E319" i="41"/>
  <c r="C319" i="41"/>
  <c r="E318" i="41"/>
  <c r="C318" i="41"/>
  <c r="E317" i="41"/>
  <c r="C317" i="41"/>
  <c r="E316" i="41"/>
  <c r="C316" i="41"/>
  <c r="E314" i="41"/>
  <c r="E313" i="41"/>
  <c r="E312" i="41"/>
  <c r="E311" i="41"/>
  <c r="E310" i="41"/>
  <c r="E309" i="41"/>
  <c r="E308" i="41"/>
  <c r="E307" i="41"/>
  <c r="E306" i="41"/>
  <c r="E305" i="41"/>
  <c r="C305" i="41"/>
  <c r="E304" i="41"/>
  <c r="C304" i="41"/>
  <c r="E303" i="41"/>
  <c r="C303" i="41"/>
  <c r="C302" i="41"/>
  <c r="C301" i="41"/>
  <c r="C300" i="41"/>
  <c r="C299" i="41"/>
  <c r="C298" i="41"/>
  <c r="C297" i="41"/>
  <c r="C296" i="41"/>
  <c r="C295" i="41"/>
  <c r="E293" i="41"/>
  <c r="E292" i="41"/>
  <c r="E291" i="41"/>
  <c r="E290" i="41"/>
  <c r="E289" i="41"/>
  <c r="E288" i="41"/>
  <c r="E287" i="41"/>
  <c r="E286" i="41"/>
  <c r="E285" i="41"/>
  <c r="E284" i="41"/>
  <c r="E283" i="41"/>
  <c r="E282" i="41"/>
  <c r="E281" i="41"/>
  <c r="E280" i="41"/>
  <c r="E279" i="41"/>
  <c r="E278" i="41"/>
  <c r="E277" i="41"/>
  <c r="C277" i="41"/>
  <c r="E276" i="41"/>
  <c r="C276" i="41"/>
  <c r="C275" i="41"/>
  <c r="C274" i="41"/>
  <c r="E271" i="41"/>
  <c r="C271" i="41"/>
  <c r="D271" i="41" s="1"/>
  <c r="E270" i="41"/>
  <c r="C270" i="41"/>
  <c r="D270" i="41" s="1"/>
  <c r="E269" i="41"/>
  <c r="C269" i="41"/>
  <c r="D269" i="41" s="1"/>
  <c r="E268" i="41"/>
  <c r="C268" i="41"/>
  <c r="D268" i="41" s="1"/>
  <c r="E267" i="41"/>
  <c r="C267" i="41"/>
  <c r="D267" i="41" s="1"/>
  <c r="E266" i="41"/>
  <c r="C266" i="41"/>
  <c r="D266" i="41" s="1"/>
  <c r="E265" i="41"/>
  <c r="C265" i="41"/>
  <c r="E264" i="41"/>
  <c r="C264" i="41"/>
  <c r="D264" i="41" s="1"/>
  <c r="C263" i="41"/>
  <c r="D263" i="41" s="1"/>
  <c r="C262" i="41"/>
  <c r="D262" i="41" s="1"/>
  <c r="E260" i="41"/>
  <c r="D260" i="41"/>
  <c r="E259" i="41"/>
  <c r="D259" i="41"/>
  <c r="E258" i="41"/>
  <c r="D258" i="41"/>
  <c r="E257" i="41"/>
  <c r="C257" i="41"/>
  <c r="D257" i="41" s="1"/>
  <c r="C256" i="41"/>
  <c r="D256" i="41" s="1"/>
  <c r="C255" i="41"/>
  <c r="D255" i="41" s="1"/>
  <c r="C254" i="41"/>
  <c r="C253" i="41"/>
  <c r="D253" i="41" s="1"/>
  <c r="C252" i="41"/>
  <c r="D252" i="41" s="1"/>
  <c r="C251" i="41"/>
  <c r="D251" i="41" s="1"/>
  <c r="C250" i="41"/>
  <c r="D250" i="41" s="1"/>
  <c r="C249" i="41"/>
  <c r="D249" i="41" s="1"/>
  <c r="E247" i="41"/>
  <c r="D247" i="41"/>
  <c r="E246" i="41"/>
  <c r="D246" i="41"/>
  <c r="E245" i="41"/>
  <c r="D245" i="41"/>
  <c r="E244" i="41"/>
  <c r="D244" i="41"/>
  <c r="E243" i="41"/>
  <c r="C243" i="41"/>
  <c r="D243" i="41" s="1"/>
  <c r="E242" i="41"/>
  <c r="C242" i="41"/>
  <c r="D242" i="41" s="1"/>
  <c r="E241" i="41"/>
  <c r="C241" i="41"/>
  <c r="D241" i="41" s="1"/>
  <c r="C240" i="41"/>
  <c r="E235" i="41"/>
  <c r="E234" i="41"/>
  <c r="E233" i="41"/>
  <c r="C233" i="41"/>
  <c r="E232" i="41"/>
  <c r="C232" i="41"/>
  <c r="E231" i="41"/>
  <c r="E230" i="41"/>
  <c r="E229" i="41"/>
  <c r="E228" i="41"/>
  <c r="C228" i="41"/>
  <c r="E227" i="41"/>
  <c r="C227" i="41"/>
  <c r="E226" i="41"/>
  <c r="C226" i="41"/>
  <c r="E225" i="41"/>
  <c r="C225" i="41"/>
  <c r="E224" i="41"/>
  <c r="C224" i="41"/>
  <c r="E223" i="41"/>
  <c r="C223" i="41"/>
  <c r="E222" i="41"/>
  <c r="C222" i="41"/>
  <c r="E221" i="41"/>
  <c r="C221" i="41"/>
  <c r="E220" i="41"/>
  <c r="C220" i="41"/>
  <c r="E219" i="41"/>
  <c r="C219" i="41"/>
  <c r="E218" i="41"/>
  <c r="C218" i="41"/>
  <c r="E217" i="41"/>
  <c r="C217" i="41"/>
  <c r="E216" i="41"/>
  <c r="C216" i="41"/>
  <c r="E215" i="41"/>
  <c r="C215" i="41"/>
  <c r="E214" i="41"/>
  <c r="E209" i="41"/>
  <c r="C209" i="41"/>
  <c r="C208" i="41"/>
  <c r="C207" i="41"/>
  <c r="C206" i="41"/>
  <c r="C205" i="41"/>
  <c r="C204" i="41"/>
  <c r="C203" i="41"/>
  <c r="C202" i="41"/>
  <c r="C201" i="41"/>
  <c r="C199" i="41"/>
  <c r="C198" i="41"/>
  <c r="C197" i="41"/>
  <c r="C196" i="41"/>
  <c r="C195" i="41"/>
  <c r="C194" i="41"/>
  <c r="C193" i="41"/>
  <c r="C192" i="41"/>
  <c r="C191" i="41"/>
  <c r="C190" i="41"/>
  <c r="C189" i="41"/>
  <c r="C188" i="41"/>
  <c r="C187" i="41"/>
  <c r="C186" i="41"/>
  <c r="C185" i="41"/>
  <c r="C184" i="41"/>
  <c r="C183" i="41"/>
  <c r="E181" i="41"/>
  <c r="E180" i="41"/>
  <c r="E179" i="41"/>
  <c r="E178" i="41"/>
  <c r="C178" i="41"/>
  <c r="C177" i="41"/>
  <c r="C176" i="41"/>
  <c r="C175" i="41"/>
  <c r="C174" i="41"/>
  <c r="C173" i="41"/>
  <c r="C172" i="41"/>
  <c r="C171" i="41"/>
  <c r="C170" i="41"/>
  <c r="C169" i="41"/>
  <c r="C168" i="41"/>
  <c r="E166" i="41"/>
  <c r="E165" i="41"/>
  <c r="C165" i="41"/>
  <c r="E164" i="41"/>
  <c r="C164" i="41"/>
  <c r="E163" i="41"/>
  <c r="C163" i="41"/>
  <c r="C162" i="41"/>
  <c r="C161" i="41"/>
  <c r="C160" i="41"/>
  <c r="C159" i="41"/>
  <c r="C158" i="41"/>
  <c r="C157" i="41"/>
  <c r="C156" i="41"/>
  <c r="C155" i="41"/>
  <c r="C154" i="41"/>
  <c r="C153" i="41"/>
  <c r="C152" i="41"/>
  <c r="C151" i="41"/>
  <c r="C150" i="41"/>
  <c r="C149" i="41"/>
  <c r="C148" i="41"/>
  <c r="C147" i="41"/>
  <c r="C146" i="41"/>
  <c r="E144" i="41"/>
  <c r="E143" i="41"/>
  <c r="E142" i="41"/>
  <c r="E141" i="41"/>
  <c r="C139" i="41"/>
  <c r="C138" i="41"/>
  <c r="C137" i="41"/>
  <c r="C136" i="41"/>
  <c r="C135" i="41"/>
  <c r="C134" i="41"/>
  <c r="C133" i="41"/>
  <c r="C132" i="41"/>
  <c r="E130" i="41"/>
  <c r="E129" i="41"/>
  <c r="E128" i="41"/>
  <c r="E127" i="41"/>
  <c r="E126" i="41"/>
  <c r="E125" i="41"/>
  <c r="E124" i="41"/>
  <c r="E123" i="41"/>
  <c r="E122" i="41"/>
  <c r="E121" i="41"/>
  <c r="C121" i="41"/>
  <c r="E120" i="41"/>
  <c r="C120" i="41"/>
  <c r="E119" i="41"/>
  <c r="C119" i="41"/>
  <c r="C118" i="41"/>
  <c r="C117" i="41"/>
  <c r="C116" i="41"/>
  <c r="C115" i="41"/>
  <c r="C114" i="41"/>
  <c r="C113" i="41"/>
  <c r="C112" i="41"/>
  <c r="C111" i="41"/>
  <c r="C110" i="41"/>
  <c r="C109" i="41"/>
  <c r="C108" i="41"/>
  <c r="C107" i="41"/>
  <c r="C106" i="41"/>
  <c r="C105" i="41"/>
  <c r="C104" i="41"/>
  <c r="C103" i="41"/>
  <c r="C102" i="41"/>
  <c r="C101" i="41"/>
  <c r="E99" i="41"/>
  <c r="C95" i="41"/>
  <c r="C94" i="41"/>
  <c r="C93" i="41"/>
  <c r="C92" i="41"/>
  <c r="C91" i="41"/>
  <c r="C90" i="41"/>
  <c r="C89" i="41"/>
  <c r="E86" i="41"/>
  <c r="E85" i="41"/>
  <c r="E84" i="41"/>
  <c r="E83" i="41"/>
  <c r="E82" i="41"/>
  <c r="C82" i="41"/>
  <c r="E81" i="41"/>
  <c r="C81" i="41"/>
  <c r="E80" i="41"/>
  <c r="C80" i="41"/>
  <c r="E79" i="41"/>
  <c r="C79" i="41"/>
  <c r="E78" i="41"/>
  <c r="C78" i="41"/>
  <c r="C77" i="41"/>
  <c r="C76" i="41"/>
  <c r="C75" i="41"/>
  <c r="C74" i="41"/>
  <c r="C73" i="41"/>
  <c r="C72" i="41"/>
  <c r="E69" i="41"/>
  <c r="C69" i="41"/>
  <c r="E68" i="41"/>
  <c r="C68" i="41"/>
  <c r="E67" i="41"/>
  <c r="C67" i="41"/>
  <c r="E66" i="41"/>
  <c r="C66" i="41"/>
  <c r="C64" i="41"/>
  <c r="C63" i="41"/>
  <c r="E59" i="41"/>
  <c r="E58" i="41"/>
  <c r="E57" i="41"/>
  <c r="C57" i="41"/>
  <c r="E56" i="41"/>
  <c r="C56" i="41"/>
  <c r="C55" i="41"/>
  <c r="C54" i="41"/>
  <c r="C53" i="41"/>
  <c r="E51" i="41"/>
  <c r="C51" i="41"/>
  <c r="D51" i="41" s="1"/>
  <c r="C50" i="41"/>
  <c r="D50" i="41" s="1"/>
  <c r="C49" i="41"/>
  <c r="D49" i="41" s="1"/>
  <c r="E47" i="41"/>
  <c r="D47" i="41"/>
  <c r="E46" i="41"/>
  <c r="D46" i="41"/>
  <c r="E45" i="41"/>
  <c r="D45" i="41"/>
  <c r="E44" i="41"/>
  <c r="D44" i="41"/>
  <c r="E43" i="41"/>
  <c r="D43" i="41"/>
  <c r="E42" i="41"/>
  <c r="D42" i="41"/>
  <c r="E41" i="41"/>
  <c r="D41" i="41"/>
  <c r="E40" i="41"/>
  <c r="D40" i="41"/>
  <c r="E39" i="41"/>
  <c r="D39" i="41"/>
  <c r="E38" i="41"/>
  <c r="D38" i="41"/>
  <c r="E37" i="41"/>
  <c r="D37" i="41"/>
  <c r="D36" i="41"/>
  <c r="D33" i="41"/>
  <c r="D32" i="41"/>
  <c r="E361" i="40"/>
  <c r="E351" i="40"/>
  <c r="E350" i="40"/>
  <c r="E349" i="40"/>
  <c r="E348" i="40"/>
  <c r="D350" i="40"/>
  <c r="E331" i="40"/>
  <c r="E329" i="40"/>
  <c r="E328" i="40"/>
  <c r="E327" i="40"/>
  <c r="E326" i="40"/>
  <c r="C326" i="40"/>
  <c r="C325" i="40"/>
  <c r="C324" i="40"/>
  <c r="C323" i="40"/>
  <c r="E321" i="40"/>
  <c r="E320" i="40"/>
  <c r="C320" i="40"/>
  <c r="E319" i="40"/>
  <c r="C319" i="40"/>
  <c r="E318" i="40"/>
  <c r="C318" i="40"/>
  <c r="E317" i="40"/>
  <c r="C317" i="40"/>
  <c r="E316" i="40"/>
  <c r="C316" i="40"/>
  <c r="E314" i="40"/>
  <c r="E313" i="40"/>
  <c r="E312" i="40"/>
  <c r="E311" i="40"/>
  <c r="E310" i="40"/>
  <c r="E309" i="40"/>
  <c r="E308" i="40"/>
  <c r="E307" i="40"/>
  <c r="E306" i="40"/>
  <c r="E305" i="40"/>
  <c r="C305" i="40"/>
  <c r="E304" i="40"/>
  <c r="C304" i="40"/>
  <c r="E303" i="40"/>
  <c r="C303" i="40"/>
  <c r="C302" i="40"/>
  <c r="C301" i="40"/>
  <c r="C300" i="40"/>
  <c r="C299" i="40"/>
  <c r="C298" i="40"/>
  <c r="C297" i="40"/>
  <c r="C296" i="40"/>
  <c r="C295" i="40"/>
  <c r="E293" i="40"/>
  <c r="E292" i="40"/>
  <c r="E291" i="40"/>
  <c r="E290" i="40"/>
  <c r="E289" i="40"/>
  <c r="E288" i="40"/>
  <c r="E287" i="40"/>
  <c r="E286" i="40"/>
  <c r="E285" i="40"/>
  <c r="E284" i="40"/>
  <c r="E283" i="40"/>
  <c r="E282" i="40"/>
  <c r="E281" i="40"/>
  <c r="E280" i="40"/>
  <c r="E279" i="40"/>
  <c r="E278" i="40"/>
  <c r="E277" i="40"/>
  <c r="C277" i="40"/>
  <c r="E276" i="40"/>
  <c r="C276" i="40"/>
  <c r="C275" i="40"/>
  <c r="C274" i="40"/>
  <c r="E271" i="40"/>
  <c r="C271" i="40"/>
  <c r="D271" i="40" s="1"/>
  <c r="E270" i="40"/>
  <c r="C270" i="40"/>
  <c r="D270" i="40" s="1"/>
  <c r="E269" i="40"/>
  <c r="C269" i="40"/>
  <c r="D269" i="40" s="1"/>
  <c r="E268" i="40"/>
  <c r="C268" i="40"/>
  <c r="D268" i="40" s="1"/>
  <c r="E267" i="40"/>
  <c r="C267" i="40"/>
  <c r="D267" i="40" s="1"/>
  <c r="E266" i="40"/>
  <c r="C266" i="40"/>
  <c r="D266" i="40" s="1"/>
  <c r="E265" i="40"/>
  <c r="C265" i="40"/>
  <c r="E264" i="40"/>
  <c r="C264" i="40"/>
  <c r="D264" i="40" s="1"/>
  <c r="C263" i="40"/>
  <c r="D263" i="40" s="1"/>
  <c r="C262" i="40"/>
  <c r="D262" i="40" s="1"/>
  <c r="E260" i="40"/>
  <c r="D260" i="40"/>
  <c r="E259" i="40"/>
  <c r="D259" i="40"/>
  <c r="E258" i="40"/>
  <c r="D258" i="40"/>
  <c r="E257" i="40"/>
  <c r="C257" i="40"/>
  <c r="D257" i="40" s="1"/>
  <c r="C256" i="40"/>
  <c r="D256" i="40" s="1"/>
  <c r="C255" i="40"/>
  <c r="D255" i="40" s="1"/>
  <c r="C254" i="40"/>
  <c r="C253" i="40"/>
  <c r="D253" i="40" s="1"/>
  <c r="C252" i="40"/>
  <c r="D252" i="40" s="1"/>
  <c r="C251" i="40"/>
  <c r="D251" i="40" s="1"/>
  <c r="C250" i="40"/>
  <c r="D250" i="40" s="1"/>
  <c r="C249" i="40"/>
  <c r="D249" i="40" s="1"/>
  <c r="E247" i="40"/>
  <c r="D247" i="40"/>
  <c r="E246" i="40"/>
  <c r="D246" i="40"/>
  <c r="E245" i="40"/>
  <c r="D245" i="40"/>
  <c r="E244" i="40"/>
  <c r="D244" i="40"/>
  <c r="E243" i="40"/>
  <c r="C243" i="40"/>
  <c r="D243" i="40" s="1"/>
  <c r="E242" i="40"/>
  <c r="C242" i="40"/>
  <c r="D242" i="40" s="1"/>
  <c r="E241" i="40"/>
  <c r="C241" i="40"/>
  <c r="D241" i="40" s="1"/>
  <c r="C240" i="40"/>
  <c r="D240" i="40" s="1"/>
  <c r="E235" i="40"/>
  <c r="E234" i="40"/>
  <c r="E233" i="40"/>
  <c r="C233" i="40"/>
  <c r="E232" i="40"/>
  <c r="C232" i="40"/>
  <c r="E231" i="40"/>
  <c r="E230" i="40"/>
  <c r="E229" i="40"/>
  <c r="E228" i="40"/>
  <c r="C228" i="40"/>
  <c r="E227" i="40"/>
  <c r="C227" i="40"/>
  <c r="E226" i="40"/>
  <c r="C226" i="40"/>
  <c r="E225" i="40"/>
  <c r="C225" i="40"/>
  <c r="E224" i="40"/>
  <c r="C224" i="40"/>
  <c r="E223" i="40"/>
  <c r="C223" i="40"/>
  <c r="E222" i="40"/>
  <c r="C222" i="40"/>
  <c r="E221" i="40"/>
  <c r="C221" i="40"/>
  <c r="E220" i="40"/>
  <c r="C220" i="40"/>
  <c r="E219" i="40"/>
  <c r="C219" i="40"/>
  <c r="E218" i="40"/>
  <c r="C218" i="40"/>
  <c r="E217" i="40"/>
  <c r="C217" i="40"/>
  <c r="E216" i="40"/>
  <c r="C216" i="40"/>
  <c r="E215" i="40"/>
  <c r="C215" i="40"/>
  <c r="E214" i="40"/>
  <c r="E209" i="40"/>
  <c r="C209" i="40"/>
  <c r="C208" i="40"/>
  <c r="C207" i="40"/>
  <c r="C206" i="40"/>
  <c r="C205" i="40"/>
  <c r="C204" i="40"/>
  <c r="C203" i="40"/>
  <c r="C202" i="40"/>
  <c r="C201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E181" i="40"/>
  <c r="E180" i="40"/>
  <c r="E179" i="40"/>
  <c r="E178" i="40"/>
  <c r="C178" i="40"/>
  <c r="C177" i="40"/>
  <c r="C176" i="40"/>
  <c r="C175" i="40"/>
  <c r="C174" i="40"/>
  <c r="C173" i="40"/>
  <c r="C172" i="40"/>
  <c r="C171" i="40"/>
  <c r="C170" i="40"/>
  <c r="C169" i="40"/>
  <c r="C168" i="40"/>
  <c r="E166" i="40"/>
  <c r="E165" i="40"/>
  <c r="C165" i="40"/>
  <c r="E164" i="40"/>
  <c r="C164" i="40"/>
  <c r="E163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E144" i="40"/>
  <c r="E143" i="40"/>
  <c r="E142" i="40"/>
  <c r="E141" i="40"/>
  <c r="C139" i="40"/>
  <c r="C138" i="40"/>
  <c r="C137" i="40"/>
  <c r="C136" i="40"/>
  <c r="C135" i="40"/>
  <c r="C134" i="40"/>
  <c r="C133" i="40"/>
  <c r="C132" i="40"/>
  <c r="E130" i="40"/>
  <c r="E129" i="40"/>
  <c r="E128" i="40"/>
  <c r="E127" i="40"/>
  <c r="E126" i="40"/>
  <c r="E125" i="40"/>
  <c r="E124" i="40"/>
  <c r="E123" i="40"/>
  <c r="C123" i="40"/>
  <c r="E122" i="40"/>
  <c r="C122" i="40"/>
  <c r="E121" i="40"/>
  <c r="C121" i="40"/>
  <c r="E120" i="40"/>
  <c r="C120" i="40"/>
  <c r="E119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E99" i="40"/>
  <c r="C97" i="40"/>
  <c r="C96" i="40"/>
  <c r="C95" i="40"/>
  <c r="C94" i="40"/>
  <c r="C93" i="40"/>
  <c r="C92" i="40"/>
  <c r="C91" i="40"/>
  <c r="C90" i="40"/>
  <c r="C89" i="40"/>
  <c r="E86" i="40"/>
  <c r="E85" i="40"/>
  <c r="E84" i="40"/>
  <c r="E83" i="40"/>
  <c r="E82" i="40"/>
  <c r="C82" i="40"/>
  <c r="E81" i="40"/>
  <c r="C81" i="40"/>
  <c r="E80" i="40"/>
  <c r="C80" i="40"/>
  <c r="E79" i="40"/>
  <c r="C79" i="40"/>
  <c r="E78" i="40"/>
  <c r="C78" i="40"/>
  <c r="C77" i="40"/>
  <c r="C76" i="40"/>
  <c r="C75" i="40"/>
  <c r="C74" i="40"/>
  <c r="C73" i="40"/>
  <c r="C72" i="40"/>
  <c r="E69" i="40"/>
  <c r="C69" i="40"/>
  <c r="E68" i="40"/>
  <c r="C68" i="40"/>
  <c r="E67" i="40"/>
  <c r="C67" i="40"/>
  <c r="E66" i="40"/>
  <c r="C66" i="40"/>
  <c r="C65" i="40"/>
  <c r="C64" i="40"/>
  <c r="C63" i="40"/>
  <c r="C62" i="40"/>
  <c r="C61" i="40"/>
  <c r="E59" i="40"/>
  <c r="E58" i="40"/>
  <c r="E57" i="40"/>
  <c r="C57" i="40"/>
  <c r="E56" i="40"/>
  <c r="C56" i="40"/>
  <c r="C55" i="40"/>
  <c r="J55" i="47" s="1"/>
  <c r="C54" i="40"/>
  <c r="C53" i="40"/>
  <c r="E51" i="40"/>
  <c r="C51" i="40"/>
  <c r="D51" i="40" s="1"/>
  <c r="C50" i="40"/>
  <c r="D50" i="40" s="1"/>
  <c r="C49" i="40"/>
  <c r="D49" i="40" s="1"/>
  <c r="E47" i="40"/>
  <c r="D47" i="40"/>
  <c r="E46" i="40"/>
  <c r="D46" i="40"/>
  <c r="E45" i="40"/>
  <c r="D45" i="40"/>
  <c r="E44" i="40"/>
  <c r="D44" i="40"/>
  <c r="E43" i="40"/>
  <c r="D43" i="40"/>
  <c r="E42" i="40"/>
  <c r="D42" i="40"/>
  <c r="E41" i="40"/>
  <c r="D41" i="40"/>
  <c r="E40" i="40"/>
  <c r="D40" i="40"/>
  <c r="E39" i="40"/>
  <c r="D39" i="40"/>
  <c r="E38" i="40"/>
  <c r="D38" i="40"/>
  <c r="E37" i="40"/>
  <c r="D37" i="40"/>
  <c r="C36" i="40"/>
  <c r="D36" i="40" s="1"/>
  <c r="C35" i="40"/>
  <c r="C34" i="40"/>
  <c r="C33" i="40"/>
  <c r="D33" i="40" s="1"/>
  <c r="C32" i="40"/>
  <c r="D32" i="40" s="1"/>
  <c r="C31" i="40"/>
  <c r="C30" i="40"/>
  <c r="C29" i="40"/>
  <c r="E361" i="39"/>
  <c r="E351" i="39"/>
  <c r="E350" i="39"/>
  <c r="E349" i="39"/>
  <c r="E348" i="39"/>
  <c r="D347" i="39"/>
  <c r="D344" i="39"/>
  <c r="E331" i="39"/>
  <c r="E329" i="39"/>
  <c r="E328" i="39"/>
  <c r="E327" i="39"/>
  <c r="E326" i="39"/>
  <c r="C326" i="39"/>
  <c r="C325" i="39"/>
  <c r="C324" i="39"/>
  <c r="C323" i="39"/>
  <c r="E321" i="39"/>
  <c r="E320" i="39"/>
  <c r="C320" i="39"/>
  <c r="E319" i="39"/>
  <c r="C319" i="39"/>
  <c r="E318" i="39"/>
  <c r="C318" i="39"/>
  <c r="E317" i="39"/>
  <c r="C317" i="39"/>
  <c r="E316" i="39"/>
  <c r="C316" i="39"/>
  <c r="E314" i="39"/>
  <c r="E313" i="39"/>
  <c r="E312" i="39"/>
  <c r="E311" i="39"/>
  <c r="E310" i="39"/>
  <c r="E309" i="39"/>
  <c r="E308" i="39"/>
  <c r="E307" i="39"/>
  <c r="E306" i="39"/>
  <c r="E305" i="39"/>
  <c r="C305" i="39"/>
  <c r="E304" i="39"/>
  <c r="C304" i="39"/>
  <c r="E303" i="39"/>
  <c r="C303" i="39"/>
  <c r="C302" i="39"/>
  <c r="C301" i="39"/>
  <c r="C300" i="39"/>
  <c r="C299" i="39"/>
  <c r="C298" i="39"/>
  <c r="C297" i="39"/>
  <c r="C296" i="39"/>
  <c r="C295" i="39"/>
  <c r="E293" i="39"/>
  <c r="E292" i="39"/>
  <c r="E291" i="39"/>
  <c r="E290" i="39"/>
  <c r="E289" i="39"/>
  <c r="E288" i="39"/>
  <c r="E287" i="39"/>
  <c r="E286" i="39"/>
  <c r="E285" i="39"/>
  <c r="E284" i="39"/>
  <c r="E283" i="39"/>
  <c r="E282" i="39"/>
  <c r="E281" i="39"/>
  <c r="E280" i="39"/>
  <c r="E279" i="39"/>
  <c r="E278" i="39"/>
  <c r="E277" i="39"/>
  <c r="C277" i="39"/>
  <c r="E276" i="39"/>
  <c r="C276" i="39"/>
  <c r="C275" i="39"/>
  <c r="C274" i="39"/>
  <c r="E271" i="39"/>
  <c r="C271" i="39"/>
  <c r="D271" i="39" s="1"/>
  <c r="E270" i="39"/>
  <c r="C270" i="39"/>
  <c r="D270" i="39" s="1"/>
  <c r="E269" i="39"/>
  <c r="C269" i="39"/>
  <c r="D269" i="39" s="1"/>
  <c r="E268" i="39"/>
  <c r="C268" i="39"/>
  <c r="D268" i="39" s="1"/>
  <c r="E267" i="39"/>
  <c r="C267" i="39"/>
  <c r="D267" i="39" s="1"/>
  <c r="E266" i="39"/>
  <c r="C266" i="39"/>
  <c r="D266" i="39" s="1"/>
  <c r="E265" i="39"/>
  <c r="C265" i="39"/>
  <c r="E264" i="39"/>
  <c r="C264" i="39"/>
  <c r="D264" i="39" s="1"/>
  <c r="C263" i="39"/>
  <c r="D263" i="39" s="1"/>
  <c r="C262" i="39"/>
  <c r="D262" i="39" s="1"/>
  <c r="E260" i="39"/>
  <c r="D260" i="39"/>
  <c r="E259" i="39"/>
  <c r="D259" i="39"/>
  <c r="E258" i="39"/>
  <c r="D258" i="39"/>
  <c r="E257" i="39"/>
  <c r="C257" i="39"/>
  <c r="C256" i="39"/>
  <c r="D256" i="39" s="1"/>
  <c r="C255" i="39"/>
  <c r="D255" i="39" s="1"/>
  <c r="C254" i="39"/>
  <c r="D253" i="39"/>
  <c r="C253" i="39"/>
  <c r="C252" i="39"/>
  <c r="D252" i="39" s="1"/>
  <c r="C251" i="39"/>
  <c r="D251" i="39" s="1"/>
  <c r="C250" i="39"/>
  <c r="D250" i="39" s="1"/>
  <c r="C249" i="39"/>
  <c r="D249" i="39" s="1"/>
  <c r="E247" i="39"/>
  <c r="D247" i="39"/>
  <c r="E246" i="39"/>
  <c r="D246" i="39"/>
  <c r="E245" i="39"/>
  <c r="D245" i="39"/>
  <c r="E244" i="39"/>
  <c r="D244" i="39"/>
  <c r="E243" i="39"/>
  <c r="C243" i="39"/>
  <c r="D243" i="39" s="1"/>
  <c r="E242" i="39"/>
  <c r="C242" i="39"/>
  <c r="D242" i="39" s="1"/>
  <c r="E241" i="39"/>
  <c r="C241" i="39"/>
  <c r="D241" i="39" s="1"/>
  <c r="C240" i="39"/>
  <c r="D240" i="39" s="1"/>
  <c r="E235" i="39"/>
  <c r="E234" i="39"/>
  <c r="E233" i="39"/>
  <c r="C233" i="39"/>
  <c r="E232" i="39"/>
  <c r="C232" i="39"/>
  <c r="E231" i="39"/>
  <c r="E230" i="39"/>
  <c r="E229" i="39"/>
  <c r="E228" i="39"/>
  <c r="C228" i="39"/>
  <c r="E227" i="39"/>
  <c r="C227" i="39"/>
  <c r="E226" i="39"/>
  <c r="C226" i="39"/>
  <c r="E225" i="39"/>
  <c r="C225" i="39"/>
  <c r="E224" i="39"/>
  <c r="C224" i="39"/>
  <c r="E223" i="39"/>
  <c r="C223" i="39"/>
  <c r="E222" i="39"/>
  <c r="C222" i="39"/>
  <c r="E221" i="39"/>
  <c r="C221" i="39"/>
  <c r="E220" i="39"/>
  <c r="C220" i="39"/>
  <c r="E219" i="39"/>
  <c r="C219" i="39"/>
  <c r="E218" i="39"/>
  <c r="C218" i="39"/>
  <c r="E217" i="39"/>
  <c r="C217" i="39"/>
  <c r="E216" i="39"/>
  <c r="C216" i="39"/>
  <c r="E215" i="39"/>
  <c r="C215" i="39"/>
  <c r="E214" i="39"/>
  <c r="E209" i="39"/>
  <c r="C209" i="39"/>
  <c r="C208" i="39"/>
  <c r="C207" i="39"/>
  <c r="C206" i="39"/>
  <c r="C205" i="39"/>
  <c r="C204" i="39"/>
  <c r="C203" i="39"/>
  <c r="C202" i="39"/>
  <c r="C201" i="39"/>
  <c r="C199" i="39"/>
  <c r="C198" i="39"/>
  <c r="C197" i="39"/>
  <c r="C196" i="39"/>
  <c r="C195" i="39"/>
  <c r="C194" i="39"/>
  <c r="C193" i="39"/>
  <c r="C192" i="39"/>
  <c r="C191" i="39"/>
  <c r="C190" i="39"/>
  <c r="C189" i="39"/>
  <c r="C188" i="39"/>
  <c r="C187" i="39"/>
  <c r="C186" i="39"/>
  <c r="C185" i="39"/>
  <c r="C184" i="39"/>
  <c r="C183" i="39"/>
  <c r="E181" i="39"/>
  <c r="E180" i="39"/>
  <c r="E179" i="39"/>
  <c r="E178" i="39"/>
  <c r="C178" i="39"/>
  <c r="C177" i="39"/>
  <c r="C176" i="39"/>
  <c r="C175" i="39"/>
  <c r="C174" i="39"/>
  <c r="C173" i="39"/>
  <c r="C172" i="39"/>
  <c r="C171" i="39"/>
  <c r="C170" i="39"/>
  <c r="C169" i="39"/>
  <c r="C168" i="39"/>
  <c r="E166" i="39"/>
  <c r="E165" i="39"/>
  <c r="C165" i="39"/>
  <c r="E164" i="39"/>
  <c r="C164" i="39"/>
  <c r="E163" i="39"/>
  <c r="C163" i="39"/>
  <c r="C162" i="39"/>
  <c r="C161" i="39"/>
  <c r="C160" i="39"/>
  <c r="C159" i="39"/>
  <c r="C158" i="39"/>
  <c r="C157" i="39"/>
  <c r="C156" i="39"/>
  <c r="C155" i="39"/>
  <c r="C154" i="39"/>
  <c r="C153" i="39"/>
  <c r="C152" i="39"/>
  <c r="C151" i="39"/>
  <c r="C150" i="39"/>
  <c r="C149" i="39"/>
  <c r="C148" i="39"/>
  <c r="C147" i="39"/>
  <c r="C146" i="39"/>
  <c r="E144" i="39"/>
  <c r="E143" i="39"/>
  <c r="E142" i="39"/>
  <c r="E141" i="39"/>
  <c r="E130" i="39"/>
  <c r="E129" i="39"/>
  <c r="E128" i="39"/>
  <c r="E127" i="39"/>
  <c r="E126" i="39"/>
  <c r="E125" i="39"/>
  <c r="E124" i="39"/>
  <c r="E123" i="39"/>
  <c r="C123" i="39"/>
  <c r="E122" i="39"/>
  <c r="C122" i="39"/>
  <c r="E121" i="39"/>
  <c r="C121" i="39"/>
  <c r="E120" i="39"/>
  <c r="C120" i="39"/>
  <c r="E119" i="39"/>
  <c r="C119" i="39"/>
  <c r="C118" i="39"/>
  <c r="C117" i="39"/>
  <c r="C116" i="39"/>
  <c r="C115" i="39"/>
  <c r="C114" i="39"/>
  <c r="C113" i="39"/>
  <c r="C112" i="39"/>
  <c r="C111" i="39"/>
  <c r="C110" i="39"/>
  <c r="C109" i="39"/>
  <c r="C108" i="39"/>
  <c r="C107" i="39"/>
  <c r="C106" i="39"/>
  <c r="C105" i="39"/>
  <c r="C104" i="39"/>
  <c r="C103" i="39"/>
  <c r="C102" i="39"/>
  <c r="C101" i="39"/>
  <c r="E99" i="39"/>
  <c r="C97" i="39"/>
  <c r="C96" i="39"/>
  <c r="C95" i="39"/>
  <c r="C94" i="39"/>
  <c r="C93" i="39"/>
  <c r="C92" i="39"/>
  <c r="C91" i="39"/>
  <c r="C90" i="39"/>
  <c r="C89" i="39"/>
  <c r="E86" i="39"/>
  <c r="E85" i="39"/>
  <c r="E84" i="39"/>
  <c r="E83" i="39"/>
  <c r="E82" i="39"/>
  <c r="C82" i="39"/>
  <c r="E81" i="39"/>
  <c r="C81" i="39"/>
  <c r="E80" i="39"/>
  <c r="C80" i="39"/>
  <c r="E79" i="39"/>
  <c r="C79" i="39"/>
  <c r="E78" i="39"/>
  <c r="C78" i="39"/>
  <c r="C77" i="39"/>
  <c r="C76" i="39"/>
  <c r="C75" i="39"/>
  <c r="C74" i="39"/>
  <c r="C73" i="39"/>
  <c r="C72" i="39"/>
  <c r="E69" i="39"/>
  <c r="C69" i="39"/>
  <c r="E68" i="39"/>
  <c r="C68" i="39"/>
  <c r="E67" i="39"/>
  <c r="C67" i="39"/>
  <c r="E66" i="39"/>
  <c r="C66" i="39"/>
  <c r="C65" i="39"/>
  <c r="C64" i="39"/>
  <c r="C63" i="39"/>
  <c r="C62" i="39"/>
  <c r="C61" i="39"/>
  <c r="E59" i="39"/>
  <c r="E58" i="39"/>
  <c r="E57" i="39"/>
  <c r="C57" i="39"/>
  <c r="E56" i="39"/>
  <c r="C56" i="39"/>
  <c r="C55" i="39"/>
  <c r="C54" i="39"/>
  <c r="C53" i="39"/>
  <c r="E51" i="39"/>
  <c r="C51" i="39"/>
  <c r="D51" i="39" s="1"/>
  <c r="C50" i="39"/>
  <c r="D50" i="39" s="1"/>
  <c r="C49" i="39"/>
  <c r="D49" i="39" s="1"/>
  <c r="E47" i="39"/>
  <c r="D47" i="39"/>
  <c r="E46" i="39"/>
  <c r="D46" i="39"/>
  <c r="E45" i="39"/>
  <c r="D45" i="39"/>
  <c r="E44" i="39"/>
  <c r="D44" i="39"/>
  <c r="E43" i="39"/>
  <c r="D43" i="39"/>
  <c r="E42" i="39"/>
  <c r="D42" i="39"/>
  <c r="E41" i="39"/>
  <c r="D41" i="39"/>
  <c r="E40" i="39"/>
  <c r="D40" i="39"/>
  <c r="E39" i="39"/>
  <c r="D39" i="39"/>
  <c r="E38" i="39"/>
  <c r="D38" i="39"/>
  <c r="E37" i="39"/>
  <c r="D37" i="39"/>
  <c r="C36" i="39"/>
  <c r="D36" i="39" s="1"/>
  <c r="C35" i="39"/>
  <c r="C34" i="39"/>
  <c r="C33" i="39"/>
  <c r="D33" i="39" s="1"/>
  <c r="C32" i="39"/>
  <c r="D32" i="39" s="1"/>
  <c r="C31" i="39"/>
  <c r="C30" i="39"/>
  <c r="C29" i="39"/>
  <c r="E331" i="38"/>
  <c r="E329" i="38"/>
  <c r="E328" i="38"/>
  <c r="E327" i="38"/>
  <c r="E326" i="38"/>
  <c r="C326" i="38"/>
  <c r="C325" i="38"/>
  <c r="C324" i="38"/>
  <c r="C323" i="38"/>
  <c r="E321" i="38"/>
  <c r="E320" i="38"/>
  <c r="C320" i="38"/>
  <c r="E319" i="38"/>
  <c r="C319" i="38"/>
  <c r="E318" i="38"/>
  <c r="C318" i="38"/>
  <c r="E317" i="38"/>
  <c r="C317" i="38"/>
  <c r="E316" i="38"/>
  <c r="C316" i="38"/>
  <c r="E314" i="38"/>
  <c r="E313" i="38"/>
  <c r="E312" i="38"/>
  <c r="E311" i="38"/>
  <c r="E310" i="38"/>
  <c r="E309" i="38"/>
  <c r="E308" i="38"/>
  <c r="E307" i="38"/>
  <c r="E306" i="38"/>
  <c r="E305" i="38"/>
  <c r="C305" i="38"/>
  <c r="E304" i="38"/>
  <c r="C304" i="38"/>
  <c r="E303" i="38"/>
  <c r="C303" i="38"/>
  <c r="C302" i="38"/>
  <c r="C301" i="38"/>
  <c r="C300" i="38"/>
  <c r="C299" i="38"/>
  <c r="C298" i="38"/>
  <c r="C297" i="38"/>
  <c r="C296" i="38"/>
  <c r="C295" i="38"/>
  <c r="E293" i="38"/>
  <c r="E292" i="38"/>
  <c r="E291" i="38"/>
  <c r="E290" i="38"/>
  <c r="E289" i="38"/>
  <c r="E288" i="38"/>
  <c r="E287" i="38"/>
  <c r="E286" i="38"/>
  <c r="E285" i="38"/>
  <c r="E284" i="38"/>
  <c r="E283" i="38"/>
  <c r="E282" i="38"/>
  <c r="E281" i="38"/>
  <c r="E280" i="38"/>
  <c r="E279" i="38"/>
  <c r="E278" i="38"/>
  <c r="E277" i="38"/>
  <c r="C277" i="38"/>
  <c r="E276" i="38"/>
  <c r="C276" i="38"/>
  <c r="C275" i="38"/>
  <c r="C274" i="38"/>
  <c r="E271" i="38"/>
  <c r="C271" i="38"/>
  <c r="D271" i="38" s="1"/>
  <c r="E270" i="38"/>
  <c r="C270" i="38"/>
  <c r="D270" i="38" s="1"/>
  <c r="E269" i="38"/>
  <c r="C269" i="38"/>
  <c r="D269" i="38" s="1"/>
  <c r="E268" i="38"/>
  <c r="C268" i="38"/>
  <c r="E267" i="38"/>
  <c r="C267" i="38"/>
  <c r="D267" i="38" s="1"/>
  <c r="E266" i="38"/>
  <c r="C266" i="38"/>
  <c r="D266" i="38" s="1"/>
  <c r="E265" i="38"/>
  <c r="C265" i="38"/>
  <c r="D265" i="38" s="1"/>
  <c r="E264" i="38"/>
  <c r="C264" i="38"/>
  <c r="D264" i="38" s="1"/>
  <c r="C263" i="38"/>
  <c r="C262" i="38"/>
  <c r="D262" i="38" s="1"/>
  <c r="E260" i="38"/>
  <c r="D260" i="38"/>
  <c r="E259" i="38"/>
  <c r="D259" i="38"/>
  <c r="E258" i="38"/>
  <c r="D258" i="38"/>
  <c r="E257" i="38"/>
  <c r="C257" i="38"/>
  <c r="D257" i="38" s="1"/>
  <c r="C256" i="38"/>
  <c r="D256" i="38" s="1"/>
  <c r="C255" i="38"/>
  <c r="D255" i="38" s="1"/>
  <c r="C254" i="38"/>
  <c r="C253" i="38"/>
  <c r="D253" i="38" s="1"/>
  <c r="C252" i="38"/>
  <c r="C251" i="38"/>
  <c r="D251" i="38" s="1"/>
  <c r="C250" i="38"/>
  <c r="D250" i="38" s="1"/>
  <c r="C249" i="38"/>
  <c r="D249" i="38" s="1"/>
  <c r="E247" i="38"/>
  <c r="D247" i="38"/>
  <c r="E246" i="38"/>
  <c r="D246" i="38"/>
  <c r="E245" i="38"/>
  <c r="D245" i="38"/>
  <c r="E244" i="38"/>
  <c r="D244" i="38"/>
  <c r="E243" i="38"/>
  <c r="C243" i="38"/>
  <c r="D243" i="38" s="1"/>
  <c r="E242" i="38"/>
  <c r="C242" i="38"/>
  <c r="D242" i="38" s="1"/>
  <c r="E241" i="38"/>
  <c r="C241" i="38"/>
  <c r="C240" i="38"/>
  <c r="D240" i="38" s="1"/>
  <c r="E235" i="38"/>
  <c r="E234" i="38"/>
  <c r="E233" i="38"/>
  <c r="C233" i="38"/>
  <c r="E232" i="38"/>
  <c r="C232" i="38"/>
  <c r="E231" i="38"/>
  <c r="E230" i="38"/>
  <c r="E229" i="38"/>
  <c r="E228" i="38"/>
  <c r="C228" i="38"/>
  <c r="E227" i="38"/>
  <c r="C227" i="38"/>
  <c r="E226" i="38"/>
  <c r="C226" i="38"/>
  <c r="E225" i="38"/>
  <c r="C225" i="38"/>
  <c r="E224" i="38"/>
  <c r="C224" i="38"/>
  <c r="E223" i="38"/>
  <c r="C223" i="38"/>
  <c r="E222" i="38"/>
  <c r="C222" i="38"/>
  <c r="E221" i="38"/>
  <c r="C221" i="38"/>
  <c r="E220" i="38"/>
  <c r="C220" i="38"/>
  <c r="E219" i="38"/>
  <c r="C219" i="38"/>
  <c r="E218" i="38"/>
  <c r="C218" i="38"/>
  <c r="E217" i="38"/>
  <c r="C217" i="38"/>
  <c r="E216" i="38"/>
  <c r="C216" i="38"/>
  <c r="E215" i="38"/>
  <c r="C215" i="38"/>
  <c r="E214" i="38"/>
  <c r="E209" i="38"/>
  <c r="C209" i="38"/>
  <c r="C208" i="38"/>
  <c r="C207" i="38"/>
  <c r="C206" i="38"/>
  <c r="C205" i="38"/>
  <c r="C204" i="38"/>
  <c r="C203" i="38"/>
  <c r="C202" i="38"/>
  <c r="C201" i="38"/>
  <c r="C199" i="38"/>
  <c r="C198" i="38"/>
  <c r="C197" i="38"/>
  <c r="C196" i="38"/>
  <c r="C195" i="38"/>
  <c r="C194" i="38"/>
  <c r="C193" i="38"/>
  <c r="C192" i="38"/>
  <c r="C191" i="38"/>
  <c r="C190" i="38"/>
  <c r="C189" i="38"/>
  <c r="C188" i="38"/>
  <c r="C187" i="38"/>
  <c r="C186" i="38"/>
  <c r="C185" i="38"/>
  <c r="C184" i="38"/>
  <c r="C183" i="38"/>
  <c r="E181" i="38"/>
  <c r="E180" i="38"/>
  <c r="E179" i="38"/>
  <c r="E178" i="38"/>
  <c r="C178" i="38"/>
  <c r="C177" i="38"/>
  <c r="C176" i="38"/>
  <c r="C175" i="38"/>
  <c r="C174" i="38"/>
  <c r="C173" i="38"/>
  <c r="C172" i="38"/>
  <c r="C171" i="38"/>
  <c r="C170" i="38"/>
  <c r="C169" i="38"/>
  <c r="C168" i="38"/>
  <c r="E166" i="38"/>
  <c r="E165" i="38"/>
  <c r="C165" i="38"/>
  <c r="E164" i="38"/>
  <c r="C164" i="38"/>
  <c r="E163" i="38"/>
  <c r="C163" i="38"/>
  <c r="C162" i="38"/>
  <c r="C161" i="38"/>
  <c r="C160" i="38"/>
  <c r="C159" i="38"/>
  <c r="C158" i="38"/>
  <c r="C157" i="38"/>
  <c r="C156" i="38"/>
  <c r="C155" i="38"/>
  <c r="C154" i="38"/>
  <c r="C153" i="38"/>
  <c r="C152" i="38"/>
  <c r="C151" i="38"/>
  <c r="C150" i="38"/>
  <c r="C149" i="38"/>
  <c r="C148" i="38"/>
  <c r="C147" i="38"/>
  <c r="C146" i="38"/>
  <c r="E144" i="38"/>
  <c r="E143" i="38"/>
  <c r="E142" i="38"/>
  <c r="E141" i="38"/>
  <c r="C139" i="38"/>
  <c r="C138" i="38"/>
  <c r="C137" i="38"/>
  <c r="C136" i="38"/>
  <c r="C135" i="38"/>
  <c r="C134" i="38"/>
  <c r="C133" i="38"/>
  <c r="C132" i="38"/>
  <c r="E130" i="38"/>
  <c r="E129" i="38"/>
  <c r="E128" i="38"/>
  <c r="E127" i="38"/>
  <c r="E126" i="38"/>
  <c r="E125" i="38"/>
  <c r="E124" i="38"/>
  <c r="E123" i="38"/>
  <c r="C123" i="38"/>
  <c r="E122" i="38"/>
  <c r="C122" i="38"/>
  <c r="E121" i="38"/>
  <c r="C121" i="38"/>
  <c r="E120" i="38"/>
  <c r="C120" i="38"/>
  <c r="E119" i="38"/>
  <c r="C119" i="38"/>
  <c r="C118" i="38"/>
  <c r="C117" i="38"/>
  <c r="C116" i="38"/>
  <c r="C115" i="38"/>
  <c r="C114" i="38"/>
  <c r="C113" i="38"/>
  <c r="C112" i="38"/>
  <c r="C111" i="38"/>
  <c r="C110" i="38"/>
  <c r="C109" i="38"/>
  <c r="C108" i="38"/>
  <c r="C107" i="38"/>
  <c r="C106" i="38"/>
  <c r="C105" i="38"/>
  <c r="C104" i="38"/>
  <c r="C103" i="38"/>
  <c r="C102" i="38"/>
  <c r="C101" i="38"/>
  <c r="E99" i="38"/>
  <c r="C97" i="38"/>
  <c r="C96" i="38"/>
  <c r="C95" i="38"/>
  <c r="C94" i="38"/>
  <c r="C93" i="38"/>
  <c r="C92" i="38"/>
  <c r="C91" i="38"/>
  <c r="C90" i="38"/>
  <c r="C89" i="38"/>
  <c r="E86" i="38"/>
  <c r="E85" i="38"/>
  <c r="E84" i="38"/>
  <c r="E83" i="38"/>
  <c r="E82" i="38"/>
  <c r="C82" i="38"/>
  <c r="E81" i="38"/>
  <c r="C81" i="38"/>
  <c r="E80" i="38"/>
  <c r="C80" i="38"/>
  <c r="E79" i="38"/>
  <c r="C79" i="38"/>
  <c r="E78" i="38"/>
  <c r="C78" i="38"/>
  <c r="C77" i="38"/>
  <c r="C76" i="38"/>
  <c r="C75" i="38"/>
  <c r="C74" i="38"/>
  <c r="C73" i="38"/>
  <c r="C72" i="38"/>
  <c r="E69" i="38"/>
  <c r="C69" i="38"/>
  <c r="E68" i="38"/>
  <c r="C68" i="38"/>
  <c r="E67" i="38"/>
  <c r="C67" i="38"/>
  <c r="E66" i="38"/>
  <c r="C66" i="38"/>
  <c r="C65" i="38"/>
  <c r="C64" i="38"/>
  <c r="C63" i="38"/>
  <c r="C62" i="38"/>
  <c r="C61" i="38"/>
  <c r="E59" i="38"/>
  <c r="E58" i="38"/>
  <c r="E57" i="38"/>
  <c r="C57" i="38"/>
  <c r="E56" i="38"/>
  <c r="C56" i="38"/>
  <c r="C55" i="38"/>
  <c r="C54" i="38"/>
  <c r="C53" i="38"/>
  <c r="E51" i="38"/>
  <c r="C51" i="38"/>
  <c r="D51" i="38" s="1"/>
  <c r="C50" i="38"/>
  <c r="D50" i="38" s="1"/>
  <c r="C49" i="38"/>
  <c r="D49" i="38" s="1"/>
  <c r="E47" i="38"/>
  <c r="D47" i="38"/>
  <c r="E46" i="38"/>
  <c r="D46" i="38"/>
  <c r="E45" i="38"/>
  <c r="D45" i="38"/>
  <c r="E44" i="38"/>
  <c r="D44" i="38"/>
  <c r="E43" i="38"/>
  <c r="D43" i="38"/>
  <c r="E42" i="38"/>
  <c r="D42" i="38"/>
  <c r="E41" i="38"/>
  <c r="D41" i="38"/>
  <c r="E40" i="38"/>
  <c r="D40" i="38"/>
  <c r="E39" i="38"/>
  <c r="D39" i="38"/>
  <c r="E38" i="38"/>
  <c r="D38" i="38"/>
  <c r="E37" i="38"/>
  <c r="D37" i="38"/>
  <c r="C36" i="38"/>
  <c r="D36" i="38" s="1"/>
  <c r="C35" i="38"/>
  <c r="C34" i="38"/>
  <c r="C33" i="38"/>
  <c r="C32" i="38"/>
  <c r="D32" i="38" s="1"/>
  <c r="C31" i="38"/>
  <c r="D31" i="38" s="1"/>
  <c r="C30" i="38"/>
  <c r="C29" i="38"/>
  <c r="E361" i="36"/>
  <c r="E351" i="36"/>
  <c r="E350" i="36"/>
  <c r="E349" i="36"/>
  <c r="E348" i="36"/>
  <c r="E331" i="36"/>
  <c r="E329" i="36"/>
  <c r="E328" i="36"/>
  <c r="E327" i="36"/>
  <c r="E326" i="36"/>
  <c r="C326" i="36"/>
  <c r="C325" i="36"/>
  <c r="C324" i="36"/>
  <c r="C323" i="36"/>
  <c r="E321" i="36"/>
  <c r="E320" i="36"/>
  <c r="C320" i="36"/>
  <c r="E319" i="36"/>
  <c r="C319" i="36"/>
  <c r="E318" i="36"/>
  <c r="C318" i="36"/>
  <c r="E317" i="36"/>
  <c r="C317" i="36"/>
  <c r="E316" i="36"/>
  <c r="C316" i="36"/>
  <c r="E314" i="36"/>
  <c r="E313" i="36"/>
  <c r="E312" i="36"/>
  <c r="E311" i="36"/>
  <c r="E310" i="36"/>
  <c r="E309" i="36"/>
  <c r="E308" i="36"/>
  <c r="E307" i="36"/>
  <c r="E306" i="36"/>
  <c r="E305" i="36"/>
  <c r="C305" i="36"/>
  <c r="E304" i="36"/>
  <c r="C304" i="36"/>
  <c r="E303" i="36"/>
  <c r="C303" i="36"/>
  <c r="C302" i="36"/>
  <c r="C301" i="36"/>
  <c r="C300" i="36"/>
  <c r="C299" i="36"/>
  <c r="C298" i="36"/>
  <c r="C297" i="36"/>
  <c r="C296" i="36"/>
  <c r="C295" i="36"/>
  <c r="E293" i="36"/>
  <c r="E292" i="36"/>
  <c r="E291" i="36"/>
  <c r="E290" i="36"/>
  <c r="E289" i="36"/>
  <c r="E288" i="36"/>
  <c r="E287" i="36"/>
  <c r="E286" i="36"/>
  <c r="E285" i="36"/>
  <c r="E284" i="36"/>
  <c r="E283" i="36"/>
  <c r="E282" i="36"/>
  <c r="E281" i="36"/>
  <c r="E280" i="36"/>
  <c r="E279" i="36"/>
  <c r="E278" i="36"/>
  <c r="E277" i="36"/>
  <c r="C277" i="36"/>
  <c r="E276" i="36"/>
  <c r="C276" i="36"/>
  <c r="C275" i="36"/>
  <c r="C274" i="36"/>
  <c r="E271" i="36"/>
  <c r="C271" i="36"/>
  <c r="D271" i="36" s="1"/>
  <c r="E270" i="36"/>
  <c r="C270" i="36"/>
  <c r="D270" i="36" s="1"/>
  <c r="E269" i="36"/>
  <c r="C269" i="36"/>
  <c r="D269" i="36" s="1"/>
  <c r="E268" i="36"/>
  <c r="C268" i="36"/>
  <c r="E267" i="36"/>
  <c r="C267" i="36"/>
  <c r="D267" i="36" s="1"/>
  <c r="E266" i="36"/>
  <c r="C266" i="36"/>
  <c r="D266" i="36" s="1"/>
  <c r="E265" i="36"/>
  <c r="C265" i="36"/>
  <c r="D265" i="36" s="1"/>
  <c r="E264" i="36"/>
  <c r="C264" i="36"/>
  <c r="D264" i="36" s="1"/>
  <c r="C263" i="36"/>
  <c r="D263" i="36" s="1"/>
  <c r="E260" i="36"/>
  <c r="D260" i="36"/>
  <c r="E259" i="36"/>
  <c r="D259" i="36"/>
  <c r="E258" i="36"/>
  <c r="D258" i="36"/>
  <c r="E257" i="36"/>
  <c r="C257" i="36"/>
  <c r="D257" i="36" s="1"/>
  <c r="C256" i="36"/>
  <c r="D256" i="36" s="1"/>
  <c r="C255" i="36"/>
  <c r="D255" i="36" s="1"/>
  <c r="C254" i="36"/>
  <c r="C253" i="36"/>
  <c r="D253" i="36" s="1"/>
  <c r="C252" i="36"/>
  <c r="D252" i="36" s="1"/>
  <c r="C251" i="36"/>
  <c r="D251" i="36" s="1"/>
  <c r="C250" i="36"/>
  <c r="D250" i="36" s="1"/>
  <c r="C249" i="36"/>
  <c r="D249" i="36" s="1"/>
  <c r="E247" i="36"/>
  <c r="D247" i="36"/>
  <c r="E246" i="36"/>
  <c r="D246" i="36"/>
  <c r="E245" i="36"/>
  <c r="D245" i="36"/>
  <c r="E244" i="36"/>
  <c r="D244" i="36"/>
  <c r="E243" i="36"/>
  <c r="C243" i="36"/>
  <c r="D243" i="36" s="1"/>
  <c r="E242" i="36"/>
  <c r="C242" i="36"/>
  <c r="D242" i="36" s="1"/>
  <c r="E241" i="36"/>
  <c r="C241" i="36"/>
  <c r="C240" i="36"/>
  <c r="D240" i="36" s="1"/>
  <c r="E235" i="36"/>
  <c r="E234" i="36"/>
  <c r="E233" i="36"/>
  <c r="C233" i="36"/>
  <c r="E232" i="36"/>
  <c r="C232" i="36"/>
  <c r="E231" i="36"/>
  <c r="E230" i="36"/>
  <c r="E229" i="36"/>
  <c r="E228" i="36"/>
  <c r="C228" i="36"/>
  <c r="E227" i="36"/>
  <c r="C227" i="36"/>
  <c r="E226" i="36"/>
  <c r="C226" i="36"/>
  <c r="E225" i="36"/>
  <c r="C225" i="36"/>
  <c r="E224" i="36"/>
  <c r="C224" i="36"/>
  <c r="E223" i="36"/>
  <c r="C223" i="36"/>
  <c r="E222" i="36"/>
  <c r="C222" i="36"/>
  <c r="E221" i="36"/>
  <c r="C221" i="36"/>
  <c r="E220" i="36"/>
  <c r="C220" i="36"/>
  <c r="E219" i="36"/>
  <c r="C219" i="36"/>
  <c r="E218" i="36"/>
  <c r="C218" i="36"/>
  <c r="E217" i="36"/>
  <c r="C217" i="36"/>
  <c r="E216" i="36"/>
  <c r="C216" i="36"/>
  <c r="E215" i="36"/>
  <c r="E214" i="36"/>
  <c r="E209" i="36"/>
  <c r="C209" i="36"/>
  <c r="C208" i="36"/>
  <c r="C207" i="36"/>
  <c r="C206" i="36"/>
  <c r="C205" i="36"/>
  <c r="C204" i="36"/>
  <c r="C203" i="36"/>
  <c r="C202" i="36"/>
  <c r="C201" i="36"/>
  <c r="C199" i="36"/>
  <c r="C198" i="36"/>
  <c r="C197" i="36"/>
  <c r="C196" i="36"/>
  <c r="C195" i="36"/>
  <c r="C194" i="36"/>
  <c r="C193" i="36"/>
  <c r="C192" i="36"/>
  <c r="C191" i="36"/>
  <c r="C190" i="36"/>
  <c r="C189" i="36"/>
  <c r="C188" i="36"/>
  <c r="C187" i="36"/>
  <c r="C186" i="36"/>
  <c r="C185" i="36"/>
  <c r="C184" i="36"/>
  <c r="C183" i="36"/>
  <c r="E181" i="36"/>
  <c r="E180" i="36"/>
  <c r="E179" i="36"/>
  <c r="E178" i="36"/>
  <c r="C178" i="36"/>
  <c r="C177" i="36"/>
  <c r="C176" i="36"/>
  <c r="C175" i="36"/>
  <c r="C174" i="36"/>
  <c r="C173" i="36"/>
  <c r="C172" i="36"/>
  <c r="C171" i="36"/>
  <c r="C170" i="36"/>
  <c r="C169" i="36"/>
  <c r="C168" i="36"/>
  <c r="E166" i="36"/>
  <c r="E165" i="36"/>
  <c r="C165" i="36"/>
  <c r="E164" i="36"/>
  <c r="C164" i="36"/>
  <c r="E163" i="36"/>
  <c r="C163" i="36"/>
  <c r="C162" i="36"/>
  <c r="C161" i="36"/>
  <c r="C160" i="36"/>
  <c r="C159" i="36"/>
  <c r="C158" i="36"/>
  <c r="C157" i="36"/>
  <c r="C156" i="36"/>
  <c r="C155" i="36"/>
  <c r="C154" i="36"/>
  <c r="C153" i="36"/>
  <c r="C152" i="36"/>
  <c r="C151" i="36"/>
  <c r="C150" i="36"/>
  <c r="C149" i="36"/>
  <c r="C148" i="36"/>
  <c r="C147" i="36"/>
  <c r="C146" i="36"/>
  <c r="E144" i="36"/>
  <c r="E143" i="36"/>
  <c r="E142" i="36"/>
  <c r="E141" i="36"/>
  <c r="C139" i="36"/>
  <c r="C138" i="36"/>
  <c r="C137" i="36"/>
  <c r="C136" i="36"/>
  <c r="C135" i="36"/>
  <c r="C134" i="36"/>
  <c r="C133" i="36"/>
  <c r="C132" i="36"/>
  <c r="E130" i="36"/>
  <c r="E129" i="36"/>
  <c r="E128" i="36"/>
  <c r="E127" i="36"/>
  <c r="E126" i="36"/>
  <c r="E125" i="36"/>
  <c r="E124" i="36"/>
  <c r="E123" i="36"/>
  <c r="C123" i="36"/>
  <c r="E122" i="36"/>
  <c r="C122" i="36"/>
  <c r="E121" i="36"/>
  <c r="C121" i="36"/>
  <c r="E120" i="36"/>
  <c r="C120" i="36"/>
  <c r="E119" i="36"/>
  <c r="C119" i="36"/>
  <c r="C118" i="36"/>
  <c r="C117" i="36"/>
  <c r="C116" i="36"/>
  <c r="C115" i="36"/>
  <c r="C114" i="36"/>
  <c r="C113" i="36"/>
  <c r="C112" i="36"/>
  <c r="C111" i="36"/>
  <c r="C110" i="36"/>
  <c r="C109" i="36"/>
  <c r="C108" i="36"/>
  <c r="C107" i="36"/>
  <c r="C106" i="36"/>
  <c r="C105" i="36"/>
  <c r="C104" i="36"/>
  <c r="C103" i="36"/>
  <c r="C102" i="36"/>
  <c r="C101" i="36"/>
  <c r="E99" i="36"/>
  <c r="C97" i="36"/>
  <c r="C96" i="36"/>
  <c r="C95" i="36"/>
  <c r="C94" i="36"/>
  <c r="C93" i="36"/>
  <c r="C92" i="36"/>
  <c r="C91" i="36"/>
  <c r="C90" i="36"/>
  <c r="C89" i="36"/>
  <c r="E86" i="36"/>
  <c r="E85" i="36"/>
  <c r="E84" i="36"/>
  <c r="E83" i="36"/>
  <c r="E82" i="36"/>
  <c r="C82" i="36"/>
  <c r="E81" i="36"/>
  <c r="C81" i="36"/>
  <c r="E80" i="36"/>
  <c r="C80" i="36"/>
  <c r="E79" i="36"/>
  <c r="C79" i="36"/>
  <c r="E78" i="36"/>
  <c r="C78" i="36"/>
  <c r="C77" i="36"/>
  <c r="C76" i="36"/>
  <c r="C75" i="36"/>
  <c r="C74" i="36"/>
  <c r="C73" i="36"/>
  <c r="C72" i="36"/>
  <c r="E69" i="36"/>
  <c r="C69" i="36"/>
  <c r="E68" i="36"/>
  <c r="C68" i="36"/>
  <c r="E67" i="36"/>
  <c r="C67" i="36"/>
  <c r="E66" i="36"/>
  <c r="C66" i="36"/>
  <c r="C65" i="36"/>
  <c r="E59" i="36"/>
  <c r="E58" i="36"/>
  <c r="E57" i="36"/>
  <c r="C57" i="36"/>
  <c r="E56" i="36"/>
  <c r="C56" i="36"/>
  <c r="C55" i="36"/>
  <c r="C54" i="36"/>
  <c r="C53" i="36"/>
  <c r="E51" i="36"/>
  <c r="C51" i="36"/>
  <c r="D51" i="36" s="1"/>
  <c r="C50" i="36"/>
  <c r="D50" i="36" s="1"/>
  <c r="C49" i="36"/>
  <c r="D49" i="36" s="1"/>
  <c r="E47" i="36"/>
  <c r="D47" i="36"/>
  <c r="E46" i="36"/>
  <c r="D46" i="36"/>
  <c r="E45" i="36"/>
  <c r="D45" i="36"/>
  <c r="E44" i="36"/>
  <c r="D44" i="36"/>
  <c r="E43" i="36"/>
  <c r="D43" i="36"/>
  <c r="E42" i="36"/>
  <c r="D42" i="36"/>
  <c r="E41" i="36"/>
  <c r="D41" i="36"/>
  <c r="E40" i="36"/>
  <c r="D40" i="36"/>
  <c r="E39" i="36"/>
  <c r="D39" i="36"/>
  <c r="E38" i="36"/>
  <c r="D38" i="36"/>
  <c r="E37" i="36"/>
  <c r="D37" i="36"/>
  <c r="C36" i="36"/>
  <c r="D36" i="36" s="1"/>
  <c r="C35" i="36"/>
  <c r="C34" i="36"/>
  <c r="C33" i="36"/>
  <c r="D33" i="36" s="1"/>
  <c r="C32" i="36"/>
  <c r="D32" i="36" s="1"/>
  <c r="C31" i="36"/>
  <c r="C30" i="36"/>
  <c r="C29" i="36"/>
  <c r="E361" i="31"/>
  <c r="E359" i="31"/>
  <c r="E358" i="31"/>
  <c r="E357" i="31"/>
  <c r="D355" i="31"/>
  <c r="E331" i="31"/>
  <c r="E329" i="31"/>
  <c r="E328" i="31"/>
  <c r="E327" i="31"/>
  <c r="E326" i="31"/>
  <c r="C326" i="31"/>
  <c r="E326" i="33" s="1"/>
  <c r="C325" i="31"/>
  <c r="E325" i="33" s="1"/>
  <c r="C324" i="31"/>
  <c r="E324" i="33" s="1"/>
  <c r="C323" i="31"/>
  <c r="E323" i="33" s="1"/>
  <c r="E321" i="31"/>
  <c r="E320" i="31"/>
  <c r="C320" i="31"/>
  <c r="E320" i="33" s="1"/>
  <c r="E319" i="31"/>
  <c r="C319" i="31"/>
  <c r="E319" i="33" s="1"/>
  <c r="E318" i="31"/>
  <c r="C318" i="31"/>
  <c r="E318" i="33" s="1"/>
  <c r="E317" i="31"/>
  <c r="C317" i="31"/>
  <c r="E317" i="33" s="1"/>
  <c r="E316" i="31"/>
  <c r="C316" i="31"/>
  <c r="E316" i="33" s="1"/>
  <c r="E314" i="31"/>
  <c r="E313" i="31"/>
  <c r="E312" i="31"/>
  <c r="E311" i="31"/>
  <c r="E310" i="31"/>
  <c r="E309" i="31"/>
  <c r="E308" i="31"/>
  <c r="E307" i="31"/>
  <c r="E306" i="31"/>
  <c r="E305" i="31"/>
  <c r="C305" i="31"/>
  <c r="E305" i="33" s="1"/>
  <c r="E304" i="31"/>
  <c r="C304" i="31"/>
  <c r="E304" i="33" s="1"/>
  <c r="E303" i="31"/>
  <c r="C303" i="31"/>
  <c r="E303" i="33" s="1"/>
  <c r="C302" i="31"/>
  <c r="E302" i="33" s="1"/>
  <c r="C301" i="31"/>
  <c r="E301" i="33" s="1"/>
  <c r="C300" i="31"/>
  <c r="E300" i="33" s="1"/>
  <c r="C299" i="31"/>
  <c r="E299" i="33" s="1"/>
  <c r="C298" i="31"/>
  <c r="E298" i="33" s="1"/>
  <c r="C297" i="31"/>
  <c r="E297" i="33" s="1"/>
  <c r="C296" i="31"/>
  <c r="E296" i="33" s="1"/>
  <c r="C295" i="31"/>
  <c r="E295" i="33" s="1"/>
  <c r="E293" i="31"/>
  <c r="E292" i="31"/>
  <c r="E291" i="31"/>
  <c r="E290" i="31"/>
  <c r="E289" i="31"/>
  <c r="E288" i="31"/>
  <c r="E287" i="31"/>
  <c r="E286" i="31"/>
  <c r="E285" i="31"/>
  <c r="E284" i="31"/>
  <c r="E283" i="31"/>
  <c r="E282" i="31"/>
  <c r="E281" i="31"/>
  <c r="E280" i="31"/>
  <c r="E279" i="31"/>
  <c r="E278" i="31"/>
  <c r="E277" i="31"/>
  <c r="C277" i="31"/>
  <c r="E277" i="33" s="1"/>
  <c r="E276" i="31"/>
  <c r="C276" i="31"/>
  <c r="E276" i="33" s="1"/>
  <c r="C275" i="31"/>
  <c r="E275" i="33" s="1"/>
  <c r="C274" i="31"/>
  <c r="E274" i="33" s="1"/>
  <c r="E271" i="31"/>
  <c r="C271" i="31"/>
  <c r="E270" i="31"/>
  <c r="C270" i="31"/>
  <c r="E269" i="31"/>
  <c r="C269" i="31"/>
  <c r="E269" i="33" s="1"/>
  <c r="E268" i="31"/>
  <c r="C268" i="31"/>
  <c r="E268" i="33" s="1"/>
  <c r="E267" i="31"/>
  <c r="C267" i="31"/>
  <c r="E266" i="31"/>
  <c r="C266" i="31"/>
  <c r="E265" i="31"/>
  <c r="C265" i="31"/>
  <c r="E264" i="31"/>
  <c r="C264" i="31"/>
  <c r="C263" i="31"/>
  <c r="E263" i="33" s="1"/>
  <c r="C262" i="31"/>
  <c r="E260" i="31"/>
  <c r="D260" i="31"/>
  <c r="E259" i="31"/>
  <c r="D259" i="31"/>
  <c r="E258" i="31"/>
  <c r="D258" i="31"/>
  <c r="E257" i="31"/>
  <c r="C257" i="31"/>
  <c r="C256" i="31"/>
  <c r="C255" i="31"/>
  <c r="C254" i="31"/>
  <c r="E254" i="33" s="1"/>
  <c r="C253" i="31"/>
  <c r="C252" i="31"/>
  <c r="C251" i="31"/>
  <c r="C250" i="31"/>
  <c r="E250" i="33" s="1"/>
  <c r="C249" i="31"/>
  <c r="E247" i="31"/>
  <c r="D247" i="31"/>
  <c r="E246" i="31"/>
  <c r="D246" i="31"/>
  <c r="E245" i="31"/>
  <c r="D245" i="31"/>
  <c r="E244" i="31"/>
  <c r="D244" i="31"/>
  <c r="E243" i="31"/>
  <c r="C243" i="31"/>
  <c r="E242" i="31"/>
  <c r="C242" i="31"/>
  <c r="E242" i="33" s="1"/>
  <c r="E241" i="31"/>
  <c r="C241" i="31"/>
  <c r="C240" i="31"/>
  <c r="E240" i="33" s="1"/>
  <c r="E235" i="31"/>
  <c r="E234" i="31"/>
  <c r="E233" i="31"/>
  <c r="C233" i="31"/>
  <c r="E233" i="33" s="1"/>
  <c r="E232" i="31"/>
  <c r="C232" i="31"/>
  <c r="E232" i="33" s="1"/>
  <c r="E231" i="31"/>
  <c r="E230" i="31"/>
  <c r="E229" i="31"/>
  <c r="E228" i="31"/>
  <c r="C228" i="31"/>
  <c r="E228" i="33" s="1"/>
  <c r="E227" i="31"/>
  <c r="C227" i="31"/>
  <c r="E227" i="33" s="1"/>
  <c r="E226" i="31"/>
  <c r="C226" i="31"/>
  <c r="E226" i="33" s="1"/>
  <c r="E225" i="31"/>
  <c r="C225" i="31"/>
  <c r="E225" i="33" s="1"/>
  <c r="E224" i="31"/>
  <c r="C224" i="31"/>
  <c r="E224" i="33" s="1"/>
  <c r="E223" i="31"/>
  <c r="C223" i="31"/>
  <c r="E223" i="33" s="1"/>
  <c r="E222" i="31"/>
  <c r="C222" i="31"/>
  <c r="E222" i="33" s="1"/>
  <c r="E221" i="31"/>
  <c r="C221" i="31"/>
  <c r="E221" i="33" s="1"/>
  <c r="E220" i="31"/>
  <c r="C220" i="31"/>
  <c r="E220" i="33" s="1"/>
  <c r="E219" i="31"/>
  <c r="C219" i="31"/>
  <c r="E219" i="33" s="1"/>
  <c r="E218" i="31"/>
  <c r="C218" i="31"/>
  <c r="E218" i="33" s="1"/>
  <c r="E217" i="31"/>
  <c r="C217" i="31"/>
  <c r="E217" i="33" s="1"/>
  <c r="E216" i="31"/>
  <c r="C216" i="31"/>
  <c r="E216" i="33" s="1"/>
  <c r="E215" i="31"/>
  <c r="C215" i="31"/>
  <c r="E215" i="33" s="1"/>
  <c r="E214" i="31"/>
  <c r="E209" i="31"/>
  <c r="C209" i="31"/>
  <c r="E209" i="33" s="1"/>
  <c r="C208" i="31"/>
  <c r="E208" i="33" s="1"/>
  <c r="C207" i="31"/>
  <c r="E207" i="33" s="1"/>
  <c r="C206" i="31"/>
  <c r="E206" i="33" s="1"/>
  <c r="C205" i="31"/>
  <c r="E205" i="33" s="1"/>
  <c r="C204" i="31"/>
  <c r="E204" i="33" s="1"/>
  <c r="C203" i="31"/>
  <c r="E203" i="33" s="1"/>
  <c r="C202" i="31"/>
  <c r="E202" i="33" s="1"/>
  <c r="C201" i="31"/>
  <c r="E201" i="33" s="1"/>
  <c r="C199" i="31"/>
  <c r="E199" i="33" s="1"/>
  <c r="C198" i="31"/>
  <c r="E198" i="33" s="1"/>
  <c r="C197" i="31"/>
  <c r="E197" i="33" s="1"/>
  <c r="C196" i="31"/>
  <c r="E196" i="33" s="1"/>
  <c r="C195" i="31"/>
  <c r="E195" i="33" s="1"/>
  <c r="C194" i="31"/>
  <c r="E194" i="33" s="1"/>
  <c r="C193" i="31"/>
  <c r="E193" i="33" s="1"/>
  <c r="C192" i="31"/>
  <c r="E192" i="33" s="1"/>
  <c r="C191" i="31"/>
  <c r="E191" i="33" s="1"/>
  <c r="C190" i="31"/>
  <c r="E190" i="33" s="1"/>
  <c r="C189" i="31"/>
  <c r="E189" i="33" s="1"/>
  <c r="C188" i="31"/>
  <c r="E188" i="33" s="1"/>
  <c r="C187" i="31"/>
  <c r="E187" i="33" s="1"/>
  <c r="C186" i="31"/>
  <c r="E186" i="33" s="1"/>
  <c r="C185" i="31"/>
  <c r="E185" i="33" s="1"/>
  <c r="C184" i="31"/>
  <c r="E184" i="33" s="1"/>
  <c r="C183" i="31"/>
  <c r="E183" i="33" s="1"/>
  <c r="E181" i="31"/>
  <c r="E180" i="31"/>
  <c r="E179" i="31"/>
  <c r="E178" i="31"/>
  <c r="C178" i="31"/>
  <c r="E178" i="33" s="1"/>
  <c r="C177" i="31"/>
  <c r="E177" i="33" s="1"/>
  <c r="C176" i="31"/>
  <c r="E176" i="33" s="1"/>
  <c r="C175" i="31"/>
  <c r="E175" i="33" s="1"/>
  <c r="C174" i="31"/>
  <c r="E174" i="33" s="1"/>
  <c r="C173" i="31"/>
  <c r="E173" i="33" s="1"/>
  <c r="C172" i="31"/>
  <c r="E172" i="33" s="1"/>
  <c r="C171" i="31"/>
  <c r="E171" i="33" s="1"/>
  <c r="C170" i="31"/>
  <c r="E170" i="33" s="1"/>
  <c r="C169" i="31"/>
  <c r="E169" i="33" s="1"/>
  <c r="C168" i="31"/>
  <c r="E168" i="33" s="1"/>
  <c r="E166" i="31"/>
  <c r="E165" i="31"/>
  <c r="C165" i="31"/>
  <c r="E165" i="33" s="1"/>
  <c r="E164" i="31"/>
  <c r="C164" i="31"/>
  <c r="E164" i="33" s="1"/>
  <c r="E163" i="31"/>
  <c r="C163" i="31"/>
  <c r="E163" i="33" s="1"/>
  <c r="C162" i="31"/>
  <c r="E162" i="33" s="1"/>
  <c r="C161" i="31"/>
  <c r="E161" i="33" s="1"/>
  <c r="C160" i="31"/>
  <c r="E160" i="33" s="1"/>
  <c r="C159" i="31"/>
  <c r="E159" i="33" s="1"/>
  <c r="C158" i="31"/>
  <c r="E158" i="33" s="1"/>
  <c r="C157" i="31"/>
  <c r="E157" i="33" s="1"/>
  <c r="C156" i="31"/>
  <c r="E156" i="33" s="1"/>
  <c r="C155" i="31"/>
  <c r="E155" i="33" s="1"/>
  <c r="C154" i="31"/>
  <c r="E154" i="33" s="1"/>
  <c r="C153" i="31"/>
  <c r="E153" i="33" s="1"/>
  <c r="C152" i="31"/>
  <c r="E152" i="33" s="1"/>
  <c r="C151" i="31"/>
  <c r="E151" i="33" s="1"/>
  <c r="C150" i="31"/>
  <c r="E150" i="33" s="1"/>
  <c r="C149" i="31"/>
  <c r="E149" i="33" s="1"/>
  <c r="C148" i="31"/>
  <c r="E148" i="33" s="1"/>
  <c r="C147" i="31"/>
  <c r="E147" i="33" s="1"/>
  <c r="C146" i="31"/>
  <c r="E146" i="33" s="1"/>
  <c r="E144" i="31"/>
  <c r="E143" i="31"/>
  <c r="E142" i="31"/>
  <c r="E141" i="31"/>
  <c r="C139" i="31"/>
  <c r="E139" i="33" s="1"/>
  <c r="C138" i="31"/>
  <c r="E138" i="33" s="1"/>
  <c r="C137" i="31"/>
  <c r="E137" i="33" s="1"/>
  <c r="C136" i="31"/>
  <c r="E136" i="33" s="1"/>
  <c r="C135" i="31"/>
  <c r="E135" i="33" s="1"/>
  <c r="C134" i="31"/>
  <c r="E134" i="33" s="1"/>
  <c r="C133" i="31"/>
  <c r="E133" i="33" s="1"/>
  <c r="C132" i="31"/>
  <c r="E132" i="33" s="1"/>
  <c r="E130" i="31"/>
  <c r="E129" i="31"/>
  <c r="E128" i="31"/>
  <c r="E127" i="31"/>
  <c r="E126" i="31"/>
  <c r="E125" i="31"/>
  <c r="E124" i="31"/>
  <c r="E123" i="31"/>
  <c r="C123" i="31"/>
  <c r="E123" i="33" s="1"/>
  <c r="E122" i="31"/>
  <c r="C122" i="31"/>
  <c r="E122" i="33" s="1"/>
  <c r="E121" i="31"/>
  <c r="C121" i="31"/>
  <c r="E121" i="33" s="1"/>
  <c r="E120" i="31"/>
  <c r="C120" i="31"/>
  <c r="E120" i="33" s="1"/>
  <c r="E119" i="31"/>
  <c r="C119" i="31"/>
  <c r="E119" i="33" s="1"/>
  <c r="C118" i="31"/>
  <c r="E118" i="33" s="1"/>
  <c r="C117" i="31"/>
  <c r="E117" i="33" s="1"/>
  <c r="C116" i="31"/>
  <c r="E116" i="33" s="1"/>
  <c r="C115" i="31"/>
  <c r="E115" i="33" s="1"/>
  <c r="C114" i="31"/>
  <c r="E114" i="33" s="1"/>
  <c r="C113" i="31"/>
  <c r="E113" i="33" s="1"/>
  <c r="C112" i="31"/>
  <c r="E112" i="33" s="1"/>
  <c r="C111" i="31"/>
  <c r="E111" i="33" s="1"/>
  <c r="C110" i="31"/>
  <c r="E110" i="33" s="1"/>
  <c r="C109" i="31"/>
  <c r="E109" i="33" s="1"/>
  <c r="C108" i="31"/>
  <c r="E108" i="33" s="1"/>
  <c r="C107" i="31"/>
  <c r="E107" i="33" s="1"/>
  <c r="C106" i="31"/>
  <c r="E106" i="33" s="1"/>
  <c r="C105" i="31"/>
  <c r="E105" i="33" s="1"/>
  <c r="C104" i="31"/>
  <c r="E104" i="33" s="1"/>
  <c r="C103" i="31"/>
  <c r="E103" i="33" s="1"/>
  <c r="C102" i="31"/>
  <c r="E102" i="33" s="1"/>
  <c r="C101" i="31"/>
  <c r="E101" i="33" s="1"/>
  <c r="E99" i="31"/>
  <c r="C97" i="31"/>
  <c r="E97" i="33" s="1"/>
  <c r="C96" i="31"/>
  <c r="E96" i="33" s="1"/>
  <c r="C95" i="31"/>
  <c r="E95" i="33" s="1"/>
  <c r="C94" i="31"/>
  <c r="E94" i="33" s="1"/>
  <c r="C93" i="31"/>
  <c r="E93" i="33" s="1"/>
  <c r="C92" i="31"/>
  <c r="E92" i="33" s="1"/>
  <c r="C91" i="31"/>
  <c r="E91" i="33" s="1"/>
  <c r="C90" i="31"/>
  <c r="E90" i="33" s="1"/>
  <c r="C89" i="31"/>
  <c r="E89" i="33" s="1"/>
  <c r="E86" i="31"/>
  <c r="E85" i="31"/>
  <c r="E84" i="31"/>
  <c r="E83" i="31"/>
  <c r="E82" i="31"/>
  <c r="C82" i="31"/>
  <c r="E82" i="33" s="1"/>
  <c r="E81" i="31"/>
  <c r="C81" i="31"/>
  <c r="E81" i="33" s="1"/>
  <c r="E80" i="31"/>
  <c r="C80" i="31"/>
  <c r="E80" i="33" s="1"/>
  <c r="E79" i="31"/>
  <c r="C79" i="31"/>
  <c r="E79" i="33" s="1"/>
  <c r="E78" i="31"/>
  <c r="C78" i="31"/>
  <c r="E78" i="33" s="1"/>
  <c r="C77" i="31"/>
  <c r="E77" i="33" s="1"/>
  <c r="C76" i="31"/>
  <c r="E76" i="33" s="1"/>
  <c r="C75" i="31"/>
  <c r="E75" i="33" s="1"/>
  <c r="C74" i="31"/>
  <c r="E74" i="33" s="1"/>
  <c r="C73" i="31"/>
  <c r="E73" i="33" s="1"/>
  <c r="C72" i="31"/>
  <c r="E72" i="33" s="1"/>
  <c r="E69" i="31"/>
  <c r="C69" i="31"/>
  <c r="E69" i="33" s="1"/>
  <c r="E68" i="31"/>
  <c r="C68" i="31"/>
  <c r="E68" i="33" s="1"/>
  <c r="E67" i="31"/>
  <c r="C67" i="31"/>
  <c r="E67" i="33" s="1"/>
  <c r="E66" i="31"/>
  <c r="C66" i="31"/>
  <c r="E66" i="33" s="1"/>
  <c r="C65" i="31"/>
  <c r="E65" i="33" s="1"/>
  <c r="C64" i="31"/>
  <c r="E64" i="33" s="1"/>
  <c r="C63" i="31"/>
  <c r="E63" i="33" s="1"/>
  <c r="C62" i="31"/>
  <c r="E62" i="33" s="1"/>
  <c r="C61" i="31"/>
  <c r="E61" i="33" s="1"/>
  <c r="E59" i="31"/>
  <c r="E58" i="31"/>
  <c r="E57" i="31"/>
  <c r="C57" i="31"/>
  <c r="E57" i="33" s="1"/>
  <c r="E56" i="31"/>
  <c r="C56" i="31"/>
  <c r="E56" i="33" s="1"/>
  <c r="C55" i="31"/>
  <c r="E55" i="33" s="1"/>
  <c r="C54" i="31"/>
  <c r="E54" i="33" s="1"/>
  <c r="C53" i="31"/>
  <c r="E53" i="33" s="1"/>
  <c r="E51" i="31"/>
  <c r="C51" i="31"/>
  <c r="C50" i="31"/>
  <c r="C49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C36" i="31"/>
  <c r="C35" i="31"/>
  <c r="E35" i="33" s="1"/>
  <c r="C34" i="31"/>
  <c r="E34" i="33" s="1"/>
  <c r="C33" i="31"/>
  <c r="E33" i="33" s="1"/>
  <c r="C32" i="31"/>
  <c r="C31" i="31"/>
  <c r="C30" i="31"/>
  <c r="E30" i="33" s="1"/>
  <c r="C29" i="31"/>
  <c r="E29" i="33" s="1"/>
  <c r="E361" i="32"/>
  <c r="E351" i="32"/>
  <c r="E350" i="32"/>
  <c r="E349" i="32"/>
  <c r="E348" i="32"/>
  <c r="E331" i="32"/>
  <c r="E329" i="32"/>
  <c r="E328" i="32"/>
  <c r="E327" i="32"/>
  <c r="E326" i="32"/>
  <c r="C326" i="32"/>
  <c r="C325" i="32"/>
  <c r="C324" i="32"/>
  <c r="C323" i="32"/>
  <c r="E321" i="32"/>
  <c r="E320" i="32"/>
  <c r="C320" i="32"/>
  <c r="E319" i="32"/>
  <c r="C319" i="32"/>
  <c r="E318" i="32"/>
  <c r="C318" i="32"/>
  <c r="E317" i="32"/>
  <c r="C317" i="32"/>
  <c r="E316" i="32"/>
  <c r="C316" i="32"/>
  <c r="E314" i="32"/>
  <c r="E313" i="32"/>
  <c r="E312" i="32"/>
  <c r="E311" i="32"/>
  <c r="E310" i="32"/>
  <c r="E309" i="32"/>
  <c r="E308" i="32"/>
  <c r="E307" i="32"/>
  <c r="E306" i="32"/>
  <c r="E305" i="32"/>
  <c r="C305" i="32"/>
  <c r="E304" i="32"/>
  <c r="C304" i="32"/>
  <c r="E303" i="32"/>
  <c r="C303" i="32"/>
  <c r="C302" i="32"/>
  <c r="C301" i="32"/>
  <c r="C300" i="32"/>
  <c r="C299" i="32"/>
  <c r="C298" i="32"/>
  <c r="C297" i="32"/>
  <c r="C296" i="32"/>
  <c r="C295" i="32"/>
  <c r="E293" i="32"/>
  <c r="E292" i="32"/>
  <c r="E291" i="32"/>
  <c r="E290" i="32"/>
  <c r="E289" i="32"/>
  <c r="E288" i="32"/>
  <c r="E287" i="32"/>
  <c r="E286" i="32"/>
  <c r="E285" i="32"/>
  <c r="E284" i="32"/>
  <c r="E283" i="32"/>
  <c r="E282" i="32"/>
  <c r="E281" i="32"/>
  <c r="E280" i="32"/>
  <c r="E279" i="32"/>
  <c r="E278" i="32"/>
  <c r="E277" i="32"/>
  <c r="C277" i="32"/>
  <c r="E276" i="32"/>
  <c r="C276" i="32"/>
  <c r="C275" i="32"/>
  <c r="C274" i="32"/>
  <c r="E271" i="32"/>
  <c r="C271" i="32"/>
  <c r="D271" i="32" s="1"/>
  <c r="E270" i="32"/>
  <c r="C270" i="32"/>
  <c r="E269" i="32"/>
  <c r="C269" i="32"/>
  <c r="D269" i="32" s="1"/>
  <c r="E268" i="32"/>
  <c r="C268" i="32"/>
  <c r="D268" i="32" s="1"/>
  <c r="E267" i="32"/>
  <c r="C267" i="32"/>
  <c r="D267" i="32" s="1"/>
  <c r="E266" i="32"/>
  <c r="C266" i="32"/>
  <c r="D266" i="32" s="1"/>
  <c r="E265" i="32"/>
  <c r="C265" i="32"/>
  <c r="E264" i="32"/>
  <c r="C264" i="32"/>
  <c r="D264" i="32" s="1"/>
  <c r="C263" i="32"/>
  <c r="D263" i="32" s="1"/>
  <c r="C262" i="32"/>
  <c r="D262" i="32" s="1"/>
  <c r="E260" i="32"/>
  <c r="D260" i="32"/>
  <c r="E259" i="32"/>
  <c r="D259" i="32"/>
  <c r="E258" i="32"/>
  <c r="D258" i="32"/>
  <c r="E257" i="32"/>
  <c r="C257" i="32"/>
  <c r="D257" i="32" s="1"/>
  <c r="C256" i="32"/>
  <c r="D256" i="32" s="1"/>
  <c r="C255" i="32"/>
  <c r="D255" i="32" s="1"/>
  <c r="C254" i="32"/>
  <c r="C253" i="32"/>
  <c r="D253" i="32" s="1"/>
  <c r="C252" i="32"/>
  <c r="D252" i="32" s="1"/>
  <c r="C251" i="32"/>
  <c r="D251" i="32" s="1"/>
  <c r="C250" i="32"/>
  <c r="D250" i="32" s="1"/>
  <c r="C249" i="32"/>
  <c r="D249" i="32" s="1"/>
  <c r="E247" i="32"/>
  <c r="D247" i="32"/>
  <c r="E246" i="32"/>
  <c r="D246" i="32"/>
  <c r="E245" i="32"/>
  <c r="D245" i="32"/>
  <c r="E244" i="32"/>
  <c r="D244" i="32"/>
  <c r="E243" i="32"/>
  <c r="C243" i="32"/>
  <c r="D243" i="32" s="1"/>
  <c r="E242" i="32"/>
  <c r="C242" i="32"/>
  <c r="D242" i="32" s="1"/>
  <c r="E241" i="32"/>
  <c r="C241" i="32"/>
  <c r="D241" i="32" s="1"/>
  <c r="C240" i="32"/>
  <c r="E235" i="32"/>
  <c r="E234" i="32"/>
  <c r="E233" i="32"/>
  <c r="C233" i="32"/>
  <c r="E232" i="32"/>
  <c r="C232" i="32"/>
  <c r="E231" i="32"/>
  <c r="E230" i="32"/>
  <c r="E229" i="32"/>
  <c r="E228" i="32"/>
  <c r="C228" i="32"/>
  <c r="E227" i="32"/>
  <c r="C227" i="32"/>
  <c r="E226" i="32"/>
  <c r="C226" i="32"/>
  <c r="E225" i="32"/>
  <c r="C225" i="32"/>
  <c r="E224" i="32"/>
  <c r="C224" i="32"/>
  <c r="E223" i="32"/>
  <c r="C223" i="32"/>
  <c r="E222" i="32"/>
  <c r="C222" i="32"/>
  <c r="E221" i="32"/>
  <c r="C221" i="32"/>
  <c r="E220" i="32"/>
  <c r="C220" i="32"/>
  <c r="E219" i="32"/>
  <c r="C219" i="32"/>
  <c r="E218" i="32"/>
  <c r="C218" i="32"/>
  <c r="E217" i="32"/>
  <c r="C217" i="32"/>
  <c r="E216" i="32"/>
  <c r="C216" i="32"/>
  <c r="E215" i="32"/>
  <c r="C215" i="32"/>
  <c r="E214" i="32"/>
  <c r="E209" i="32"/>
  <c r="C209" i="32"/>
  <c r="C208" i="32"/>
  <c r="C207" i="32"/>
  <c r="C206" i="32"/>
  <c r="C205" i="32"/>
  <c r="C204" i="32"/>
  <c r="C203" i="32"/>
  <c r="C202" i="32"/>
  <c r="C201" i="32"/>
  <c r="C199" i="32"/>
  <c r="C198" i="32"/>
  <c r="C197" i="32"/>
  <c r="C196" i="32"/>
  <c r="C195" i="32"/>
  <c r="C194" i="32"/>
  <c r="C193" i="32"/>
  <c r="C192" i="32"/>
  <c r="C191" i="32"/>
  <c r="C190" i="32"/>
  <c r="C189" i="32"/>
  <c r="C188" i="32"/>
  <c r="C187" i="32"/>
  <c r="C186" i="32"/>
  <c r="C185" i="32"/>
  <c r="C184" i="32"/>
  <c r="C183" i="32"/>
  <c r="E181" i="32"/>
  <c r="E180" i="32"/>
  <c r="E179" i="32"/>
  <c r="E178" i="32"/>
  <c r="C178" i="32"/>
  <c r="C177" i="32"/>
  <c r="C176" i="32"/>
  <c r="C175" i="32"/>
  <c r="C174" i="32"/>
  <c r="C173" i="32"/>
  <c r="C172" i="32"/>
  <c r="C171" i="32"/>
  <c r="C170" i="32"/>
  <c r="C169" i="32"/>
  <c r="C168" i="32"/>
  <c r="E166" i="32"/>
  <c r="E165" i="32"/>
  <c r="C165" i="32"/>
  <c r="E164" i="32"/>
  <c r="C164" i="32"/>
  <c r="E163" i="32"/>
  <c r="C163" i="32"/>
  <c r="C162" i="32"/>
  <c r="C161" i="32"/>
  <c r="C160" i="32"/>
  <c r="C159" i="32"/>
  <c r="C158" i="32"/>
  <c r="C157" i="32"/>
  <c r="C156" i="32"/>
  <c r="C155" i="32"/>
  <c r="C154" i="32"/>
  <c r="C153" i="32"/>
  <c r="C152" i="32"/>
  <c r="C151" i="32"/>
  <c r="E144" i="32"/>
  <c r="E143" i="32"/>
  <c r="E142" i="32"/>
  <c r="E141" i="32"/>
  <c r="C139" i="32"/>
  <c r="C138" i="32"/>
  <c r="C137" i="32"/>
  <c r="C136" i="32"/>
  <c r="C135" i="32"/>
  <c r="C134" i="32"/>
  <c r="C133" i="32"/>
  <c r="C132" i="32"/>
  <c r="E130" i="32"/>
  <c r="E129" i="32"/>
  <c r="E128" i="32"/>
  <c r="E127" i="32"/>
  <c r="E126" i="32"/>
  <c r="E125" i="32"/>
  <c r="E124" i="32"/>
  <c r="E123" i="32"/>
  <c r="C123" i="32"/>
  <c r="E122" i="32"/>
  <c r="C122" i="32"/>
  <c r="E121" i="32"/>
  <c r="C121" i="32"/>
  <c r="E120" i="32"/>
  <c r="C120" i="32"/>
  <c r="E119" i="32"/>
  <c r="C119" i="32"/>
  <c r="C118" i="32"/>
  <c r="C117" i="32"/>
  <c r="C116" i="32"/>
  <c r="C115" i="32"/>
  <c r="C114" i="32"/>
  <c r="C113" i="32"/>
  <c r="C112" i="32"/>
  <c r="C111" i="32"/>
  <c r="C110" i="32"/>
  <c r="C109" i="32"/>
  <c r="C108" i="32"/>
  <c r="C107" i="32"/>
  <c r="C106" i="32"/>
  <c r="C105" i="32"/>
  <c r="C104" i="32"/>
  <c r="C103" i="32"/>
  <c r="C102" i="32"/>
  <c r="C101" i="32"/>
  <c r="E99" i="32"/>
  <c r="C97" i="32"/>
  <c r="C96" i="32"/>
  <c r="C93" i="32"/>
  <c r="C92" i="32"/>
  <c r="C91" i="32"/>
  <c r="C90" i="32"/>
  <c r="C89" i="32"/>
  <c r="E86" i="32"/>
  <c r="E85" i="32"/>
  <c r="E84" i="32"/>
  <c r="E83" i="32"/>
  <c r="E82" i="32"/>
  <c r="C82" i="32"/>
  <c r="E81" i="32"/>
  <c r="C81" i="32"/>
  <c r="E80" i="32"/>
  <c r="C80" i="32"/>
  <c r="E79" i="32"/>
  <c r="C79" i="32"/>
  <c r="E78" i="32"/>
  <c r="C78" i="32"/>
  <c r="C77" i="32"/>
  <c r="C76" i="32"/>
  <c r="C75" i="32"/>
  <c r="C74" i="32"/>
  <c r="C73" i="32"/>
  <c r="C72" i="32"/>
  <c r="E69" i="32"/>
  <c r="C69" i="32"/>
  <c r="E68" i="32"/>
  <c r="C68" i="32"/>
  <c r="E67" i="32"/>
  <c r="C67" i="32"/>
  <c r="E66" i="32"/>
  <c r="C66" i="32"/>
  <c r="C65" i="32"/>
  <c r="C64" i="32"/>
  <c r="C63" i="32"/>
  <c r="C62" i="32"/>
  <c r="C61" i="32"/>
  <c r="E59" i="32"/>
  <c r="E58" i="32"/>
  <c r="E57" i="32"/>
  <c r="C57" i="32"/>
  <c r="E56" i="32"/>
  <c r="C55" i="32"/>
  <c r="C54" i="32"/>
  <c r="C53" i="32"/>
  <c r="E51" i="32"/>
  <c r="C51" i="32"/>
  <c r="D51" i="32" s="1"/>
  <c r="C50" i="32"/>
  <c r="D50" i="32" s="1"/>
  <c r="C49" i="32"/>
  <c r="D49" i="32" s="1"/>
  <c r="E47" i="32"/>
  <c r="D47" i="32"/>
  <c r="E46" i="32"/>
  <c r="D46" i="32"/>
  <c r="E45" i="32"/>
  <c r="D45" i="32"/>
  <c r="E44" i="32"/>
  <c r="D44" i="32"/>
  <c r="E43" i="32"/>
  <c r="D43" i="32"/>
  <c r="E42" i="32"/>
  <c r="D42" i="32"/>
  <c r="E41" i="32"/>
  <c r="D41" i="32"/>
  <c r="E40" i="32"/>
  <c r="D40" i="32"/>
  <c r="E39" i="32"/>
  <c r="D39" i="32"/>
  <c r="E38" i="32"/>
  <c r="D38" i="32"/>
  <c r="E37" i="32"/>
  <c r="D37" i="32"/>
  <c r="C36" i="32"/>
  <c r="D36" i="32" s="1"/>
  <c r="C35" i="32"/>
  <c r="C34" i="32"/>
  <c r="C33" i="32"/>
  <c r="C31" i="32"/>
  <c r="C30" i="32"/>
  <c r="C29" i="32"/>
  <c r="E361" i="30"/>
  <c r="E359" i="30"/>
  <c r="E358" i="30"/>
  <c r="E357" i="30"/>
  <c r="E356" i="30"/>
  <c r="E331" i="30"/>
  <c r="E329" i="30"/>
  <c r="E328" i="30"/>
  <c r="E327" i="30"/>
  <c r="E326" i="30"/>
  <c r="C326" i="30"/>
  <c r="C325" i="30"/>
  <c r="C324" i="30"/>
  <c r="C323" i="30"/>
  <c r="E321" i="30"/>
  <c r="E320" i="30"/>
  <c r="C320" i="30"/>
  <c r="E319" i="30"/>
  <c r="C319" i="30"/>
  <c r="E318" i="30"/>
  <c r="C318" i="30"/>
  <c r="E317" i="30"/>
  <c r="C317" i="30"/>
  <c r="E316" i="30"/>
  <c r="C316" i="30"/>
  <c r="E314" i="30"/>
  <c r="E313" i="30"/>
  <c r="E312" i="30"/>
  <c r="E311" i="30"/>
  <c r="E310" i="30"/>
  <c r="E309" i="30"/>
  <c r="E308" i="30"/>
  <c r="E307" i="30"/>
  <c r="E306" i="30"/>
  <c r="E305" i="30"/>
  <c r="C305" i="30"/>
  <c r="E304" i="30"/>
  <c r="C304" i="30"/>
  <c r="E303" i="30"/>
  <c r="C303" i="30"/>
  <c r="C302" i="30"/>
  <c r="C301" i="30"/>
  <c r="C300" i="30"/>
  <c r="C299" i="30"/>
  <c r="C298" i="30"/>
  <c r="C297" i="30"/>
  <c r="C296" i="30"/>
  <c r="C295" i="30"/>
  <c r="E293" i="30"/>
  <c r="E292" i="30"/>
  <c r="E291" i="30"/>
  <c r="E290" i="30"/>
  <c r="E289" i="30"/>
  <c r="E288" i="30"/>
  <c r="E287" i="30"/>
  <c r="E286" i="30"/>
  <c r="E285" i="30"/>
  <c r="E284" i="30"/>
  <c r="E283" i="30"/>
  <c r="E282" i="30"/>
  <c r="E281" i="30"/>
  <c r="E280" i="30"/>
  <c r="E279" i="30"/>
  <c r="E278" i="30"/>
  <c r="E277" i="30"/>
  <c r="C277" i="30"/>
  <c r="E276" i="30"/>
  <c r="C276" i="30"/>
  <c r="C275" i="30"/>
  <c r="C274" i="30"/>
  <c r="E271" i="30"/>
  <c r="C271" i="30"/>
  <c r="D271" i="30" s="1"/>
  <c r="E270" i="30"/>
  <c r="C270" i="30"/>
  <c r="D270" i="30" s="1"/>
  <c r="E269" i="30"/>
  <c r="C269" i="30"/>
  <c r="E268" i="30"/>
  <c r="C268" i="30"/>
  <c r="E267" i="30"/>
  <c r="C267" i="30"/>
  <c r="D267" i="30" s="1"/>
  <c r="E266" i="30"/>
  <c r="C266" i="30"/>
  <c r="D266" i="30" s="1"/>
  <c r="E265" i="30"/>
  <c r="C265" i="30"/>
  <c r="D265" i="30" s="1"/>
  <c r="E264" i="30"/>
  <c r="C264" i="30"/>
  <c r="D264" i="30" s="1"/>
  <c r="C263" i="30"/>
  <c r="D263" i="30" s="1"/>
  <c r="C262" i="30"/>
  <c r="D262" i="30" s="1"/>
  <c r="E260" i="30"/>
  <c r="D260" i="30"/>
  <c r="E259" i="30"/>
  <c r="D259" i="30"/>
  <c r="E258" i="30"/>
  <c r="D258" i="30"/>
  <c r="E257" i="30"/>
  <c r="C257" i="30"/>
  <c r="D257" i="30" s="1"/>
  <c r="C256" i="30"/>
  <c r="D256" i="30" s="1"/>
  <c r="C255" i="30"/>
  <c r="D255" i="30" s="1"/>
  <c r="C254" i="30"/>
  <c r="C253" i="30"/>
  <c r="C252" i="30"/>
  <c r="D252" i="30" s="1"/>
  <c r="C251" i="30"/>
  <c r="D251" i="30" s="1"/>
  <c r="C250" i="30"/>
  <c r="D250" i="30" s="1"/>
  <c r="C249" i="30"/>
  <c r="D249" i="30" s="1"/>
  <c r="E247" i="30"/>
  <c r="D247" i="30"/>
  <c r="E246" i="30"/>
  <c r="D246" i="30"/>
  <c r="E245" i="30"/>
  <c r="D245" i="30"/>
  <c r="E244" i="30"/>
  <c r="D244" i="30"/>
  <c r="E243" i="30"/>
  <c r="C243" i="30"/>
  <c r="D243" i="30" s="1"/>
  <c r="E242" i="30"/>
  <c r="C242" i="30"/>
  <c r="D242" i="30" s="1"/>
  <c r="E241" i="30"/>
  <c r="C241" i="30"/>
  <c r="C240" i="30"/>
  <c r="D240" i="30" s="1"/>
  <c r="E235" i="30"/>
  <c r="E234" i="30"/>
  <c r="E233" i="30"/>
  <c r="C233" i="30"/>
  <c r="E232" i="30"/>
  <c r="C232" i="30"/>
  <c r="E231" i="30"/>
  <c r="E230" i="30"/>
  <c r="E229" i="30"/>
  <c r="E228" i="30"/>
  <c r="C228" i="30"/>
  <c r="E227" i="30"/>
  <c r="C227" i="30"/>
  <c r="E226" i="30"/>
  <c r="C226" i="30"/>
  <c r="E225" i="30"/>
  <c r="C225" i="30"/>
  <c r="E224" i="30"/>
  <c r="C224" i="30"/>
  <c r="E223" i="30"/>
  <c r="C223" i="30"/>
  <c r="E222" i="30"/>
  <c r="C222" i="30"/>
  <c r="E221" i="30"/>
  <c r="C221" i="30"/>
  <c r="E220" i="30"/>
  <c r="C220" i="30"/>
  <c r="E219" i="30"/>
  <c r="C219" i="30"/>
  <c r="E218" i="30"/>
  <c r="C218" i="30"/>
  <c r="E217" i="30"/>
  <c r="C217" i="30"/>
  <c r="E216" i="30"/>
  <c r="C216" i="30"/>
  <c r="E215" i="30"/>
  <c r="C215" i="30"/>
  <c r="E214" i="30"/>
  <c r="E209" i="30"/>
  <c r="C209" i="30"/>
  <c r="C208" i="30"/>
  <c r="C207" i="30"/>
  <c r="C205" i="30"/>
  <c r="C204" i="30"/>
  <c r="C203" i="30"/>
  <c r="C202" i="30"/>
  <c r="C201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E181" i="30"/>
  <c r="E180" i="30"/>
  <c r="E179" i="30"/>
  <c r="E178" i="30"/>
  <c r="C178" i="30"/>
  <c r="C177" i="30"/>
  <c r="C176" i="30"/>
  <c r="C175" i="30"/>
  <c r="C174" i="30"/>
  <c r="C173" i="30"/>
  <c r="C172" i="30"/>
  <c r="C171" i="30"/>
  <c r="C170" i="30"/>
  <c r="C169" i="30"/>
  <c r="C168" i="30"/>
  <c r="E166" i="30"/>
  <c r="E165" i="30"/>
  <c r="C165" i="30"/>
  <c r="E164" i="30"/>
  <c r="C164" i="30"/>
  <c r="E163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E144" i="30"/>
  <c r="E143" i="30"/>
  <c r="E142" i="30"/>
  <c r="E141" i="30"/>
  <c r="C139" i="30"/>
  <c r="C138" i="30"/>
  <c r="C137" i="30"/>
  <c r="C136" i="30"/>
  <c r="C135" i="30"/>
  <c r="C134" i="30"/>
  <c r="C133" i="30"/>
  <c r="C132" i="30"/>
  <c r="E130" i="30"/>
  <c r="E129" i="30"/>
  <c r="E128" i="30"/>
  <c r="E127" i="30"/>
  <c r="E126" i="30"/>
  <c r="E125" i="30"/>
  <c r="E124" i="30"/>
  <c r="E123" i="30"/>
  <c r="C123" i="30"/>
  <c r="E122" i="30"/>
  <c r="C122" i="30"/>
  <c r="E121" i="30"/>
  <c r="C121" i="30"/>
  <c r="E120" i="30"/>
  <c r="C120" i="30"/>
  <c r="E119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E99" i="30"/>
  <c r="C97" i="30"/>
  <c r="C96" i="30"/>
  <c r="C95" i="30"/>
  <c r="C94" i="30"/>
  <c r="C93" i="30"/>
  <c r="C92" i="30"/>
  <c r="C91" i="30"/>
  <c r="C90" i="30"/>
  <c r="C89" i="30"/>
  <c r="E86" i="30"/>
  <c r="E85" i="30"/>
  <c r="E84" i="30"/>
  <c r="E83" i="30"/>
  <c r="E82" i="30"/>
  <c r="C82" i="30"/>
  <c r="E81" i="30"/>
  <c r="C81" i="30"/>
  <c r="E80" i="30"/>
  <c r="C80" i="30"/>
  <c r="E79" i="30"/>
  <c r="C79" i="30"/>
  <c r="E78" i="30"/>
  <c r="C78" i="30"/>
  <c r="C77" i="30"/>
  <c r="C76" i="30"/>
  <c r="C75" i="30"/>
  <c r="C74" i="30"/>
  <c r="C73" i="30"/>
  <c r="C72" i="30"/>
  <c r="E69" i="30"/>
  <c r="C69" i="30"/>
  <c r="E68" i="30"/>
  <c r="C68" i="30"/>
  <c r="E67" i="30"/>
  <c r="C67" i="30"/>
  <c r="E66" i="30"/>
  <c r="C66" i="30"/>
  <c r="C65" i="30"/>
  <c r="C64" i="30"/>
  <c r="C63" i="30"/>
  <c r="C62" i="30"/>
  <c r="C61" i="30"/>
  <c r="E59" i="30"/>
  <c r="E58" i="30"/>
  <c r="E57" i="30"/>
  <c r="C57" i="30"/>
  <c r="E56" i="30"/>
  <c r="C56" i="30"/>
  <c r="C55" i="30"/>
  <c r="C54" i="30"/>
  <c r="C53" i="30"/>
  <c r="E51" i="30"/>
  <c r="C51" i="30"/>
  <c r="C50" i="30"/>
  <c r="D50" i="30" s="1"/>
  <c r="C49" i="30"/>
  <c r="D49" i="30" s="1"/>
  <c r="E47" i="30"/>
  <c r="D47" i="30"/>
  <c r="E46" i="30"/>
  <c r="D46" i="30"/>
  <c r="E45" i="30"/>
  <c r="D45" i="30"/>
  <c r="E44" i="30"/>
  <c r="D44" i="30"/>
  <c r="E43" i="30"/>
  <c r="D43" i="30"/>
  <c r="E42" i="30"/>
  <c r="D42" i="30"/>
  <c r="E41" i="30"/>
  <c r="D41" i="30"/>
  <c r="E40" i="30"/>
  <c r="D40" i="30"/>
  <c r="E39" i="30"/>
  <c r="D39" i="30"/>
  <c r="E38" i="30"/>
  <c r="D38" i="30"/>
  <c r="E37" i="30"/>
  <c r="D37" i="30"/>
  <c r="C36" i="30"/>
  <c r="D36" i="30" s="1"/>
  <c r="C35" i="30"/>
  <c r="C33" i="30"/>
  <c r="C32" i="30"/>
  <c r="D32" i="30" s="1"/>
  <c r="C31" i="30"/>
  <c r="C30" i="30"/>
  <c r="C29" i="30"/>
  <c r="E361" i="1"/>
  <c r="E358" i="1"/>
  <c r="E354" i="1"/>
  <c r="E353" i="1"/>
  <c r="H337" i="1"/>
  <c r="E331" i="1"/>
  <c r="E329" i="1"/>
  <c r="E328" i="1"/>
  <c r="E327" i="1"/>
  <c r="E326" i="1"/>
  <c r="C326" i="1"/>
  <c r="C325" i="1"/>
  <c r="C324" i="1"/>
  <c r="C323" i="1"/>
  <c r="J322" i="1"/>
  <c r="I322" i="1"/>
  <c r="H322" i="1"/>
  <c r="E321" i="1"/>
  <c r="E320" i="1"/>
  <c r="C320" i="1"/>
  <c r="E319" i="1"/>
  <c r="C319" i="1"/>
  <c r="E318" i="1"/>
  <c r="C318" i="1"/>
  <c r="E317" i="1"/>
  <c r="C317" i="1"/>
  <c r="E316" i="1"/>
  <c r="C316" i="1"/>
  <c r="J315" i="1"/>
  <c r="I315" i="1"/>
  <c r="H315" i="1"/>
  <c r="E314" i="1"/>
  <c r="E313" i="1"/>
  <c r="E312" i="1"/>
  <c r="E311" i="1"/>
  <c r="E310" i="1"/>
  <c r="E309" i="1"/>
  <c r="E308" i="1"/>
  <c r="E307" i="1"/>
  <c r="E306" i="1"/>
  <c r="E305" i="1"/>
  <c r="C305" i="1"/>
  <c r="E304" i="1"/>
  <c r="C304" i="1"/>
  <c r="E303" i="1"/>
  <c r="C303" i="1"/>
  <c r="C302" i="1"/>
  <c r="C301" i="1"/>
  <c r="C300" i="1"/>
  <c r="C299" i="1"/>
  <c r="C298" i="1"/>
  <c r="C297" i="1"/>
  <c r="C296" i="1"/>
  <c r="C295" i="1"/>
  <c r="J294" i="1"/>
  <c r="I294" i="1"/>
  <c r="H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C277" i="1"/>
  <c r="E276" i="1"/>
  <c r="C276" i="1"/>
  <c r="C275" i="1"/>
  <c r="C274" i="1"/>
  <c r="J273" i="1"/>
  <c r="I273" i="1"/>
  <c r="H273" i="1"/>
  <c r="E271" i="1"/>
  <c r="C271" i="1"/>
  <c r="D271" i="1" s="1"/>
  <c r="E270" i="1"/>
  <c r="C270" i="1"/>
  <c r="D270" i="1" s="1"/>
  <c r="E269" i="1"/>
  <c r="C269" i="1"/>
  <c r="D269" i="1" s="1"/>
  <c r="E268" i="1"/>
  <c r="C268" i="1"/>
  <c r="E267" i="1"/>
  <c r="C267" i="1"/>
  <c r="D267" i="1" s="1"/>
  <c r="E266" i="1"/>
  <c r="C266" i="1"/>
  <c r="D266" i="1" s="1"/>
  <c r="E265" i="1"/>
  <c r="C265" i="1"/>
  <c r="D265" i="1" s="1"/>
  <c r="E264" i="1"/>
  <c r="C264" i="1"/>
  <c r="D264" i="1" s="1"/>
  <c r="C263" i="1"/>
  <c r="D263" i="1" s="1"/>
  <c r="C262" i="1"/>
  <c r="D262" i="1" s="1"/>
  <c r="J261" i="1"/>
  <c r="I261" i="1"/>
  <c r="H261" i="1"/>
  <c r="E260" i="1"/>
  <c r="D260" i="1"/>
  <c r="E259" i="1"/>
  <c r="D259" i="1"/>
  <c r="E258" i="1"/>
  <c r="D258" i="1"/>
  <c r="E257" i="1"/>
  <c r="C257" i="1"/>
  <c r="D257" i="1" s="1"/>
  <c r="C256" i="1"/>
  <c r="D256" i="1" s="1"/>
  <c r="C255" i="1"/>
  <c r="D255" i="1" s="1"/>
  <c r="C254" i="1"/>
  <c r="C253" i="1"/>
  <c r="C252" i="1"/>
  <c r="D252" i="1" s="1"/>
  <c r="C251" i="1"/>
  <c r="D251" i="1" s="1"/>
  <c r="C250" i="1"/>
  <c r="C249" i="1"/>
  <c r="D249" i="1" s="1"/>
  <c r="J248" i="1"/>
  <c r="I248" i="1"/>
  <c r="H248" i="1"/>
  <c r="E247" i="1"/>
  <c r="D247" i="1"/>
  <c r="E246" i="1"/>
  <c r="D246" i="1"/>
  <c r="E245" i="1"/>
  <c r="D245" i="1"/>
  <c r="E244" i="1"/>
  <c r="D244" i="1"/>
  <c r="E243" i="1"/>
  <c r="C243" i="1"/>
  <c r="D243" i="1" s="1"/>
  <c r="E242" i="1"/>
  <c r="C242" i="1"/>
  <c r="D242" i="1" s="1"/>
  <c r="E241" i="1"/>
  <c r="C241" i="1"/>
  <c r="D241" i="1" s="1"/>
  <c r="C240" i="1"/>
  <c r="D240" i="1" s="1"/>
  <c r="J239" i="1"/>
  <c r="I239" i="1"/>
  <c r="H239" i="1"/>
  <c r="E235" i="1"/>
  <c r="E234" i="1"/>
  <c r="E233" i="1"/>
  <c r="C233" i="1"/>
  <c r="E232" i="1"/>
  <c r="C232" i="1"/>
  <c r="J231" i="1"/>
  <c r="I231" i="1"/>
  <c r="H231" i="1"/>
  <c r="E231" i="1"/>
  <c r="E230" i="1"/>
  <c r="E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H212" i="1"/>
  <c r="E209" i="1"/>
  <c r="C209" i="1"/>
  <c r="C208" i="1"/>
  <c r="C207" i="1"/>
  <c r="C206" i="1"/>
  <c r="C205" i="1"/>
  <c r="C204" i="1"/>
  <c r="C203" i="1"/>
  <c r="C202" i="1"/>
  <c r="C201" i="1"/>
  <c r="J200" i="1"/>
  <c r="I200" i="1"/>
  <c r="H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J182" i="1"/>
  <c r="I182" i="1"/>
  <c r="H182" i="1"/>
  <c r="E181" i="1"/>
  <c r="E180" i="1"/>
  <c r="E179" i="1"/>
  <c r="E178" i="1"/>
  <c r="C178" i="1"/>
  <c r="C177" i="1"/>
  <c r="C176" i="1"/>
  <c r="C175" i="1"/>
  <c r="C174" i="1"/>
  <c r="C173" i="1"/>
  <c r="C172" i="1"/>
  <c r="C171" i="1"/>
  <c r="C170" i="1"/>
  <c r="C169" i="1"/>
  <c r="C168" i="1"/>
  <c r="J167" i="1"/>
  <c r="I167" i="1"/>
  <c r="H167" i="1"/>
  <c r="E166" i="1"/>
  <c r="E165" i="1"/>
  <c r="C165" i="1"/>
  <c r="E164" i="1"/>
  <c r="C164" i="1"/>
  <c r="E163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J145" i="1"/>
  <c r="I145" i="1"/>
  <c r="H145" i="1"/>
  <c r="E144" i="1"/>
  <c r="E143" i="1"/>
  <c r="E142" i="1"/>
  <c r="E141" i="1"/>
  <c r="C139" i="1"/>
  <c r="C138" i="1"/>
  <c r="C137" i="1"/>
  <c r="C136" i="1"/>
  <c r="C135" i="1"/>
  <c r="C134" i="1"/>
  <c r="C133" i="1"/>
  <c r="C132" i="1"/>
  <c r="J131" i="1"/>
  <c r="I131" i="1"/>
  <c r="H131" i="1"/>
  <c r="E130" i="1"/>
  <c r="E129" i="1"/>
  <c r="E128" i="1"/>
  <c r="E127" i="1"/>
  <c r="E126" i="1"/>
  <c r="E125" i="1"/>
  <c r="E124" i="1"/>
  <c r="E123" i="1"/>
  <c r="C123" i="1"/>
  <c r="E122" i="1"/>
  <c r="C122" i="1"/>
  <c r="E121" i="1"/>
  <c r="C121" i="1"/>
  <c r="E120" i="1"/>
  <c r="C120" i="1"/>
  <c r="E119" i="1"/>
  <c r="C119" i="1"/>
  <c r="C118" i="1"/>
  <c r="C117" i="1"/>
  <c r="C116" i="1"/>
  <c r="C115" i="1"/>
  <c r="C114" i="1"/>
  <c r="C113" i="1"/>
  <c r="C112" i="1"/>
  <c r="C111" i="1"/>
  <c r="C110" i="1"/>
  <c r="C109" i="1"/>
  <c r="C102" i="1"/>
  <c r="J100" i="1"/>
  <c r="I100" i="1"/>
  <c r="H100" i="1"/>
  <c r="E99" i="1"/>
  <c r="C97" i="1"/>
  <c r="C96" i="1"/>
  <c r="C95" i="1"/>
  <c r="C94" i="1"/>
  <c r="C93" i="1"/>
  <c r="C92" i="1"/>
  <c r="C91" i="1"/>
  <c r="C90" i="1"/>
  <c r="C89" i="1"/>
  <c r="J88" i="1"/>
  <c r="I88" i="1"/>
  <c r="H88" i="1"/>
  <c r="E86" i="1"/>
  <c r="E85" i="1"/>
  <c r="E84" i="1"/>
  <c r="E83" i="1"/>
  <c r="E82" i="1"/>
  <c r="C82" i="1"/>
  <c r="E81" i="1"/>
  <c r="C81" i="1"/>
  <c r="E80" i="1"/>
  <c r="C80" i="1"/>
  <c r="E79" i="1"/>
  <c r="C79" i="1"/>
  <c r="E78" i="1"/>
  <c r="C78" i="1"/>
  <c r="C77" i="1"/>
  <c r="C76" i="1"/>
  <c r="C75" i="1"/>
  <c r="C74" i="1"/>
  <c r="C73" i="1"/>
  <c r="C72" i="1"/>
  <c r="J70" i="1"/>
  <c r="I70" i="1"/>
  <c r="H70" i="1"/>
  <c r="E69" i="1"/>
  <c r="C69" i="1"/>
  <c r="E68" i="1"/>
  <c r="C68" i="1"/>
  <c r="E67" i="1"/>
  <c r="C67" i="1"/>
  <c r="E66" i="1"/>
  <c r="C66" i="1"/>
  <c r="C65" i="1"/>
  <c r="C64" i="1"/>
  <c r="C63" i="1"/>
  <c r="C62" i="1"/>
  <c r="C61" i="1"/>
  <c r="J60" i="1"/>
  <c r="I60" i="1"/>
  <c r="H60" i="1"/>
  <c r="E59" i="1"/>
  <c r="E58" i="1"/>
  <c r="E57" i="1"/>
  <c r="C57" i="1"/>
  <c r="E56" i="1"/>
  <c r="C56" i="1"/>
  <c r="C55" i="1"/>
  <c r="C54" i="1"/>
  <c r="J52" i="1"/>
  <c r="I52" i="1"/>
  <c r="H52" i="1"/>
  <c r="E51" i="1"/>
  <c r="C51" i="1"/>
  <c r="D51" i="1" s="1"/>
  <c r="C50" i="1"/>
  <c r="C49" i="1"/>
  <c r="D49" i="1" s="1"/>
  <c r="J48" i="1"/>
  <c r="I48" i="1"/>
  <c r="H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C36" i="1"/>
  <c r="D36" i="1" s="1"/>
  <c r="C35" i="1"/>
  <c r="C34" i="1"/>
  <c r="C33" i="1"/>
  <c r="C32" i="1"/>
  <c r="C31" i="1"/>
  <c r="C30" i="1"/>
  <c r="C29" i="1"/>
  <c r="J28" i="1"/>
  <c r="H28" i="1"/>
  <c r="D249" i="31" l="1"/>
  <c r="E249" i="33"/>
  <c r="D265" i="31"/>
  <c r="E265" i="33"/>
  <c r="D51" i="31"/>
  <c r="E51" i="33"/>
  <c r="D257" i="31"/>
  <c r="E257" i="33"/>
  <c r="D31" i="31"/>
  <c r="E31" i="33"/>
  <c r="D49" i="31"/>
  <c r="E49" i="33"/>
  <c r="D241" i="31"/>
  <c r="E241" i="33"/>
  <c r="D243" i="31"/>
  <c r="E243" i="33"/>
  <c r="D251" i="31"/>
  <c r="E251" i="33"/>
  <c r="D255" i="31"/>
  <c r="E255" i="33"/>
  <c r="D264" i="31"/>
  <c r="E264" i="33"/>
  <c r="D266" i="31"/>
  <c r="E266" i="33"/>
  <c r="D270" i="31"/>
  <c r="E270" i="33"/>
  <c r="D253" i="31"/>
  <c r="E253" i="33"/>
  <c r="D262" i="31"/>
  <c r="E262" i="33"/>
  <c r="D267" i="31"/>
  <c r="E267" i="33"/>
  <c r="D271" i="31"/>
  <c r="E271" i="33"/>
  <c r="D32" i="31"/>
  <c r="E32" i="33"/>
  <c r="D36" i="31"/>
  <c r="E36" i="33"/>
  <c r="D50" i="31"/>
  <c r="E50" i="33"/>
  <c r="D252" i="31"/>
  <c r="E252" i="33"/>
  <c r="D256" i="31"/>
  <c r="E256" i="33"/>
  <c r="C60" i="44"/>
  <c r="C70" i="45"/>
  <c r="C88" i="44"/>
  <c r="C231" i="39"/>
  <c r="C200" i="32"/>
  <c r="C167" i="45"/>
  <c r="C231" i="45"/>
  <c r="C294" i="45"/>
  <c r="D346" i="45"/>
  <c r="D360" i="45"/>
  <c r="D351" i="45"/>
  <c r="D357" i="45"/>
  <c r="D352" i="45"/>
  <c r="D358" i="45"/>
  <c r="D353" i="45"/>
  <c r="D359" i="45"/>
  <c r="D354" i="45"/>
  <c r="D349" i="45"/>
  <c r="D355" i="45"/>
  <c r="D350" i="45"/>
  <c r="D356" i="45"/>
  <c r="D351" i="44"/>
  <c r="D357" i="44"/>
  <c r="D353" i="44"/>
  <c r="D350" i="44"/>
  <c r="D352" i="44"/>
  <c r="D358" i="44"/>
  <c r="D347" i="44"/>
  <c r="D359" i="44"/>
  <c r="D348" i="44"/>
  <c r="D354" i="44"/>
  <c r="D360" i="44"/>
  <c r="D349" i="44"/>
  <c r="D355" i="44"/>
  <c r="D356" i="44"/>
  <c r="C322" i="44"/>
  <c r="C294" i="44"/>
  <c r="C145" i="44"/>
  <c r="C100" i="41"/>
  <c r="C88" i="41"/>
  <c r="C200" i="41"/>
  <c r="D347" i="30"/>
  <c r="D360" i="30"/>
  <c r="C28" i="45"/>
  <c r="C322" i="45"/>
  <c r="C60" i="45"/>
  <c r="C200" i="45"/>
  <c r="C239" i="45"/>
  <c r="C52" i="45"/>
  <c r="C182" i="45"/>
  <c r="C88" i="45"/>
  <c r="C212" i="45"/>
  <c r="C100" i="45"/>
  <c r="D242" i="45"/>
  <c r="C248" i="45"/>
  <c r="D338" i="45"/>
  <c r="C273" i="45"/>
  <c r="D341" i="45"/>
  <c r="C261" i="45"/>
  <c r="D261" i="45" s="1"/>
  <c r="D344" i="45"/>
  <c r="D263" i="45"/>
  <c r="D347" i="45"/>
  <c r="C131" i="45"/>
  <c r="C145" i="45"/>
  <c r="C88" i="40"/>
  <c r="C28" i="39"/>
  <c r="C200" i="39"/>
  <c r="C28" i="44"/>
  <c r="C200" i="44"/>
  <c r="C261" i="44"/>
  <c r="D261" i="44" s="1"/>
  <c r="C70" i="44"/>
  <c r="C273" i="44"/>
  <c r="D338" i="44"/>
  <c r="C52" i="44"/>
  <c r="C131" i="44"/>
  <c r="D341" i="44"/>
  <c r="C100" i="44"/>
  <c r="C167" i="44"/>
  <c r="C212" i="44"/>
  <c r="C182" i="44"/>
  <c r="C60" i="41"/>
  <c r="C212" i="41"/>
  <c r="C182" i="41"/>
  <c r="C294" i="41"/>
  <c r="C28" i="41"/>
  <c r="C70" i="41"/>
  <c r="C322" i="41"/>
  <c r="D338" i="41"/>
  <c r="C261" i="41"/>
  <c r="D261" i="41" s="1"/>
  <c r="D48" i="41"/>
  <c r="C273" i="41"/>
  <c r="C52" i="41"/>
  <c r="C131" i="41"/>
  <c r="D341" i="41"/>
  <c r="C145" i="41"/>
  <c r="D344" i="41"/>
  <c r="C167" i="41"/>
  <c r="C182" i="40"/>
  <c r="C48" i="40"/>
  <c r="C131" i="40"/>
  <c r="C261" i="40"/>
  <c r="D261" i="40" s="1"/>
  <c r="C70" i="40"/>
  <c r="C52" i="40"/>
  <c r="C60" i="40"/>
  <c r="C200" i="40"/>
  <c r="C294" i="40"/>
  <c r="C322" i="40"/>
  <c r="C28" i="40"/>
  <c r="C212" i="40"/>
  <c r="C145" i="40"/>
  <c r="C273" i="40"/>
  <c r="D338" i="40"/>
  <c r="D48" i="40"/>
  <c r="C100" i="40"/>
  <c r="C167" i="40"/>
  <c r="D341" i="40"/>
  <c r="D344" i="40"/>
  <c r="D347" i="40"/>
  <c r="D350" i="39"/>
  <c r="D356" i="39"/>
  <c r="D357" i="39"/>
  <c r="D352" i="39"/>
  <c r="D358" i="39"/>
  <c r="D353" i="39"/>
  <c r="D359" i="39"/>
  <c r="D354" i="39"/>
  <c r="D360" i="39"/>
  <c r="D355" i="39"/>
  <c r="C131" i="39"/>
  <c r="C294" i="39"/>
  <c r="C52" i="39"/>
  <c r="C60" i="39"/>
  <c r="C88" i="39"/>
  <c r="C273" i="39"/>
  <c r="C182" i="39"/>
  <c r="D338" i="39"/>
  <c r="D341" i="39"/>
  <c r="C145" i="39"/>
  <c r="C70" i="39"/>
  <c r="C100" i="39"/>
  <c r="C167" i="39"/>
  <c r="C212" i="39"/>
  <c r="C261" i="39"/>
  <c r="D261" i="39" s="1"/>
  <c r="C322" i="39"/>
  <c r="C167" i="38"/>
  <c r="C88" i="38"/>
  <c r="C145" i="38"/>
  <c r="C182" i="38"/>
  <c r="D48" i="38"/>
  <c r="C294" i="38"/>
  <c r="C52" i="38"/>
  <c r="C212" i="38"/>
  <c r="C248" i="38"/>
  <c r="C273" i="38"/>
  <c r="C28" i="38"/>
  <c r="C131" i="38"/>
  <c r="C60" i="38"/>
  <c r="C261" i="38"/>
  <c r="C70" i="38"/>
  <c r="C200" i="38"/>
  <c r="D263" i="38"/>
  <c r="C239" i="38"/>
  <c r="D239" i="38" s="1"/>
  <c r="C100" i="38"/>
  <c r="C322" i="38"/>
  <c r="C88" i="36"/>
  <c r="C200" i="36"/>
  <c r="C322" i="36"/>
  <c r="C28" i="36"/>
  <c r="C182" i="36"/>
  <c r="C70" i="36"/>
  <c r="C60" i="36"/>
  <c r="C131" i="36"/>
  <c r="C145" i="36"/>
  <c r="C248" i="36"/>
  <c r="C273" i="36"/>
  <c r="C261" i="36"/>
  <c r="C100" i="36"/>
  <c r="C294" i="36"/>
  <c r="C167" i="36"/>
  <c r="C212" i="36"/>
  <c r="C239" i="36"/>
  <c r="D239" i="36" s="1"/>
  <c r="C182" i="32"/>
  <c r="C88" i="32"/>
  <c r="C145" i="32"/>
  <c r="C322" i="32"/>
  <c r="C28" i="32"/>
  <c r="C52" i="32"/>
  <c r="C60" i="32"/>
  <c r="C294" i="32"/>
  <c r="C273" i="32"/>
  <c r="C70" i="32"/>
  <c r="C261" i="32"/>
  <c r="C131" i="32"/>
  <c r="C100" i="32"/>
  <c r="C167" i="32"/>
  <c r="C212" i="32"/>
  <c r="C200" i="31"/>
  <c r="E200" i="33" s="1"/>
  <c r="B354" i="33"/>
  <c r="B354" i="30"/>
  <c r="B342" i="33"/>
  <c r="B342" i="30"/>
  <c r="B352" i="33"/>
  <c r="B352" i="30"/>
  <c r="B346" i="33"/>
  <c r="B346" i="30"/>
  <c r="B340" i="33"/>
  <c r="B340" i="30"/>
  <c r="B357" i="33"/>
  <c r="B357" i="30"/>
  <c r="B353" i="33"/>
  <c r="B353" i="30"/>
  <c r="B351" i="33"/>
  <c r="B351" i="30"/>
  <c r="B339" i="31"/>
  <c r="B339" i="30"/>
  <c r="B356" i="33"/>
  <c r="B356" i="30"/>
  <c r="B348" i="33"/>
  <c r="B348" i="30"/>
  <c r="B359" i="33"/>
  <c r="B359" i="30"/>
  <c r="B347" i="31"/>
  <c r="B347" i="30"/>
  <c r="B358" i="33"/>
  <c r="B358" i="30"/>
  <c r="B350" i="33"/>
  <c r="B350" i="30"/>
  <c r="B344" i="33"/>
  <c r="B344" i="30"/>
  <c r="B338" i="33"/>
  <c r="B338" i="30"/>
  <c r="B341" i="33"/>
  <c r="B341" i="30"/>
  <c r="B347" i="33"/>
  <c r="B349" i="33"/>
  <c r="B349" i="30"/>
  <c r="B343" i="33"/>
  <c r="B343" i="30"/>
  <c r="D5" i="31"/>
  <c r="H27" i="1"/>
  <c r="B343" i="31"/>
  <c r="B345" i="31"/>
  <c r="C167" i="31"/>
  <c r="E167" i="33" s="1"/>
  <c r="D358" i="30"/>
  <c r="D352" i="30"/>
  <c r="D346" i="30"/>
  <c r="B342" i="31"/>
  <c r="B355" i="33"/>
  <c r="B340" i="31"/>
  <c r="B344" i="31"/>
  <c r="B346" i="31"/>
  <c r="B345" i="33"/>
  <c r="B341" i="31"/>
  <c r="B339" i="33"/>
  <c r="D350" i="31"/>
  <c r="D344" i="31"/>
  <c r="D357" i="30"/>
  <c r="D351" i="30"/>
  <c r="D345" i="30"/>
  <c r="D356" i="30"/>
  <c r="D350" i="30"/>
  <c r="D355" i="30"/>
  <c r="D349" i="30"/>
  <c r="D354" i="30"/>
  <c r="D348" i="30"/>
  <c r="D359" i="30"/>
  <c r="D353" i="30"/>
  <c r="D349" i="31"/>
  <c r="D343" i="31"/>
  <c r="D348" i="31"/>
  <c r="D342" i="31"/>
  <c r="D353" i="31"/>
  <c r="D347" i="31"/>
  <c r="D341" i="31"/>
  <c r="D352" i="31"/>
  <c r="D346" i="31"/>
  <c r="D340" i="31"/>
  <c r="D351" i="31"/>
  <c r="D345" i="31"/>
  <c r="D339" i="31"/>
  <c r="C294" i="31"/>
  <c r="E294" i="33" s="1"/>
  <c r="C261" i="31"/>
  <c r="E261" i="33" s="1"/>
  <c r="C231" i="31"/>
  <c r="E231" i="33" s="1"/>
  <c r="C182" i="31"/>
  <c r="E182" i="33" s="1"/>
  <c r="D338" i="31"/>
  <c r="C28" i="31"/>
  <c r="E28" i="33" s="1"/>
  <c r="C60" i="31"/>
  <c r="E60" i="33" s="1"/>
  <c r="C100" i="31"/>
  <c r="E100" i="33" s="1"/>
  <c r="C52" i="31"/>
  <c r="E52" i="33" s="1"/>
  <c r="C273" i="31"/>
  <c r="E273" i="33" s="1"/>
  <c r="C239" i="31"/>
  <c r="E239" i="33" s="1"/>
  <c r="D242" i="31"/>
  <c r="C88" i="31"/>
  <c r="E88" i="33" s="1"/>
  <c r="C248" i="31"/>
  <c r="E248" i="33" s="1"/>
  <c r="D263" i="31"/>
  <c r="D356" i="31"/>
  <c r="D250" i="31"/>
  <c r="C131" i="31"/>
  <c r="E131" i="33" s="1"/>
  <c r="C145" i="31"/>
  <c r="E145" i="33" s="1"/>
  <c r="C322" i="31"/>
  <c r="E322" i="33" s="1"/>
  <c r="C212" i="31"/>
  <c r="E212" i="33" s="1"/>
  <c r="C231" i="30"/>
  <c r="C315" i="30"/>
  <c r="C212" i="30"/>
  <c r="C60" i="30"/>
  <c r="C248" i="1"/>
  <c r="H85" i="1"/>
  <c r="C182" i="1"/>
  <c r="J330" i="1"/>
  <c r="C322" i="1"/>
  <c r="C60" i="1"/>
  <c r="I236" i="1"/>
  <c r="C70" i="1"/>
  <c r="C294" i="1"/>
  <c r="C28" i="30"/>
  <c r="C48" i="1"/>
  <c r="C200" i="1"/>
  <c r="H330" i="1"/>
  <c r="C322" i="30"/>
  <c r="I85" i="1"/>
  <c r="J236" i="1"/>
  <c r="D50" i="1"/>
  <c r="D48" i="1" s="1"/>
  <c r="C212" i="1"/>
  <c r="C231" i="1"/>
  <c r="I330" i="1"/>
  <c r="D344" i="30"/>
  <c r="J238" i="1"/>
  <c r="J334" i="1" s="1"/>
  <c r="C239" i="1"/>
  <c r="D239" i="1" s="1"/>
  <c r="C261" i="1"/>
  <c r="H238" i="1"/>
  <c r="H334" i="1" s="1"/>
  <c r="D341" i="30"/>
  <c r="J85" i="1"/>
  <c r="C48" i="30"/>
  <c r="C273" i="30"/>
  <c r="C28" i="1"/>
  <c r="C88" i="1"/>
  <c r="I238" i="1"/>
  <c r="I334" i="1" s="1"/>
  <c r="D250" i="1"/>
  <c r="C273" i="1"/>
  <c r="D338" i="30"/>
  <c r="D48" i="45"/>
  <c r="C315" i="45"/>
  <c r="D348" i="45"/>
  <c r="C48" i="45"/>
  <c r="D339" i="45"/>
  <c r="D342" i="45"/>
  <c r="D345" i="45"/>
  <c r="D337" i="45"/>
  <c r="D340" i="45"/>
  <c r="D343" i="45"/>
  <c r="C248" i="44"/>
  <c r="D265" i="44"/>
  <c r="C315" i="44"/>
  <c r="C48" i="44"/>
  <c r="D339" i="44"/>
  <c r="D342" i="44"/>
  <c r="D345" i="44"/>
  <c r="C231" i="44"/>
  <c r="C239" i="44"/>
  <c r="D337" i="44"/>
  <c r="D340" i="44"/>
  <c r="D343" i="44"/>
  <c r="D346" i="44"/>
  <c r="C248" i="41"/>
  <c r="D265" i="41"/>
  <c r="C315" i="41"/>
  <c r="C48" i="41"/>
  <c r="D339" i="41"/>
  <c r="D342" i="41"/>
  <c r="D345" i="41"/>
  <c r="C231" i="41"/>
  <c r="C239" i="41"/>
  <c r="D337" i="41"/>
  <c r="D340" i="41"/>
  <c r="D343" i="41"/>
  <c r="D346" i="41"/>
  <c r="C248" i="40"/>
  <c r="D265" i="40"/>
  <c r="C315" i="40"/>
  <c r="D348" i="40"/>
  <c r="D351" i="40"/>
  <c r="D339" i="40"/>
  <c r="D342" i="40"/>
  <c r="D345" i="40"/>
  <c r="D349" i="40"/>
  <c r="C231" i="40"/>
  <c r="C239" i="40"/>
  <c r="D337" i="40"/>
  <c r="D340" i="40"/>
  <c r="D343" i="40"/>
  <c r="D346" i="40"/>
  <c r="D48" i="39"/>
  <c r="C248" i="39"/>
  <c r="D265" i="39"/>
  <c r="C315" i="39"/>
  <c r="D348" i="39"/>
  <c r="D351" i="39"/>
  <c r="C48" i="39"/>
  <c r="D339" i="39"/>
  <c r="D342" i="39"/>
  <c r="D345" i="39"/>
  <c r="D349" i="39"/>
  <c r="C239" i="39"/>
  <c r="D337" i="39"/>
  <c r="D340" i="39"/>
  <c r="D343" i="39"/>
  <c r="D346" i="39"/>
  <c r="C315" i="38"/>
  <c r="C48" i="38"/>
  <c r="D241" i="38"/>
  <c r="C231" i="38"/>
  <c r="C52" i="36"/>
  <c r="D48" i="36"/>
  <c r="C315" i="36"/>
  <c r="C48" i="36"/>
  <c r="D241" i="36"/>
  <c r="C231" i="36"/>
  <c r="C315" i="31"/>
  <c r="E315" i="33" s="1"/>
  <c r="D357" i="31"/>
  <c r="D359" i="31"/>
  <c r="C48" i="31"/>
  <c r="E48" i="33" s="1"/>
  <c r="D354" i="31"/>
  <c r="D358" i="31"/>
  <c r="D337" i="31"/>
  <c r="C70" i="31"/>
  <c r="E70" i="33" s="1"/>
  <c r="D48" i="32"/>
  <c r="C248" i="32"/>
  <c r="D265" i="32"/>
  <c r="C315" i="32"/>
  <c r="C48" i="32"/>
  <c r="C231" i="32"/>
  <c r="C239" i="32"/>
  <c r="C167" i="30"/>
  <c r="C52" i="30"/>
  <c r="C200" i="30"/>
  <c r="C248" i="30"/>
  <c r="C70" i="30"/>
  <c r="D51" i="30"/>
  <c r="D48" i="30" s="1"/>
  <c r="C131" i="30"/>
  <c r="C182" i="30"/>
  <c r="D241" i="30"/>
  <c r="C239" i="30"/>
  <c r="C261" i="30"/>
  <c r="C88" i="30"/>
  <c r="C294" i="30"/>
  <c r="C100" i="30"/>
  <c r="D339" i="30"/>
  <c r="D342" i="30"/>
  <c r="D337" i="30"/>
  <c r="D340" i="30"/>
  <c r="D343" i="30"/>
  <c r="C145" i="1"/>
  <c r="H236" i="1"/>
  <c r="C131" i="1"/>
  <c r="C52" i="1"/>
  <c r="C167" i="1"/>
  <c r="C315" i="1"/>
  <c r="N338" i="47"/>
  <c r="O338" i="47" s="1"/>
  <c r="N339" i="47"/>
  <c r="O339" i="47" s="1"/>
  <c r="N340" i="47"/>
  <c r="O340" i="47" s="1"/>
  <c r="N341" i="47"/>
  <c r="O341" i="47" s="1"/>
  <c r="N342" i="47"/>
  <c r="O342" i="47" s="1"/>
  <c r="C269" i="48"/>
  <c r="C270" i="48"/>
  <c r="C271" i="48"/>
  <c r="C256" i="48"/>
  <c r="C257" i="48"/>
  <c r="H338" i="45"/>
  <c r="H339" i="45"/>
  <c r="H340" i="45"/>
  <c r="H341" i="45"/>
  <c r="H342" i="45"/>
  <c r="H343" i="45"/>
  <c r="H344" i="45"/>
  <c r="H345" i="45"/>
  <c r="H346" i="45"/>
  <c r="M17" i="47"/>
  <c r="C4" i="44"/>
  <c r="H338" i="44" s="1"/>
  <c r="H339" i="44"/>
  <c r="H340" i="44"/>
  <c r="H341" i="44"/>
  <c r="H342" i="44"/>
  <c r="H343" i="44"/>
  <c r="H344" i="44"/>
  <c r="H345" i="44"/>
  <c r="H346" i="44"/>
  <c r="C4" i="41"/>
  <c r="H338" i="41" s="1"/>
  <c r="C5" i="41"/>
  <c r="H339" i="41" s="1"/>
  <c r="C6" i="41"/>
  <c r="H340" i="41" s="1"/>
  <c r="C7" i="41"/>
  <c r="H341" i="41" s="1"/>
  <c r="C8" i="41"/>
  <c r="H342" i="41" s="1"/>
  <c r="C9" i="41"/>
  <c r="H343" i="41" s="1"/>
  <c r="C10" i="41"/>
  <c r="H344" i="41" s="1"/>
  <c r="C11" i="41"/>
  <c r="H345" i="41" s="1"/>
  <c r="C12" i="41"/>
  <c r="H346" i="41" s="1"/>
  <c r="D14" i="41"/>
  <c r="D16" i="41"/>
  <c r="H338" i="40"/>
  <c r="H339" i="40"/>
  <c r="H340" i="40"/>
  <c r="H341" i="40"/>
  <c r="H342" i="40"/>
  <c r="H343" i="40"/>
  <c r="H344" i="40"/>
  <c r="H345" i="40"/>
  <c r="H346" i="40"/>
  <c r="H338" i="39"/>
  <c r="H339" i="39"/>
  <c r="H340" i="39"/>
  <c r="H341" i="39"/>
  <c r="H342" i="39"/>
  <c r="H343" i="39"/>
  <c r="H344" i="39"/>
  <c r="H345" i="39"/>
  <c r="H346" i="39"/>
  <c r="D48" i="31" l="1"/>
  <c r="C85" i="45"/>
  <c r="C330" i="45"/>
  <c r="C236" i="45"/>
  <c r="C330" i="44"/>
  <c r="C236" i="44"/>
  <c r="C85" i="44"/>
  <c r="C85" i="41"/>
  <c r="D336" i="30"/>
  <c r="D336" i="45"/>
  <c r="C238" i="45"/>
  <c r="K17" i="43"/>
  <c r="K17" i="47"/>
  <c r="C85" i="39"/>
  <c r="C330" i="41"/>
  <c r="C236" i="41"/>
  <c r="C85" i="40"/>
  <c r="C236" i="40"/>
  <c r="C330" i="40"/>
  <c r="C236" i="39"/>
  <c r="C85" i="38"/>
  <c r="C238" i="38"/>
  <c r="C85" i="32"/>
  <c r="D336" i="31"/>
  <c r="C330" i="38"/>
  <c r="C236" i="38"/>
  <c r="C238" i="36"/>
  <c r="C330" i="32"/>
  <c r="C236" i="32"/>
  <c r="H335" i="1"/>
  <c r="C238" i="31"/>
  <c r="E238" i="33" s="1"/>
  <c r="C85" i="31"/>
  <c r="E85" i="33" s="1"/>
  <c r="C330" i="31"/>
  <c r="E330" i="33" s="1"/>
  <c r="C236" i="31"/>
  <c r="E236" i="33" s="1"/>
  <c r="H333" i="1"/>
  <c r="C330" i="30"/>
  <c r="C330" i="1"/>
  <c r="I333" i="1"/>
  <c r="C238" i="1"/>
  <c r="J333" i="1"/>
  <c r="D336" i="44"/>
  <c r="D239" i="44"/>
  <c r="C238" i="44"/>
  <c r="C238" i="41"/>
  <c r="D336" i="41"/>
  <c r="D336" i="40"/>
  <c r="D239" i="40"/>
  <c r="C238" i="40"/>
  <c r="C330" i="39"/>
  <c r="D336" i="39"/>
  <c r="D239" i="39"/>
  <c r="C238" i="39"/>
  <c r="C236" i="36"/>
  <c r="C85" i="36"/>
  <c r="C330" i="36"/>
  <c r="C238" i="32"/>
  <c r="C85" i="30"/>
  <c r="D239" i="30"/>
  <c r="C238" i="30"/>
  <c r="C85" i="1"/>
  <c r="C326" i="48"/>
  <c r="C325" i="48"/>
  <c r="C324" i="48"/>
  <c r="C323" i="48"/>
  <c r="C320" i="48"/>
  <c r="C319" i="48"/>
  <c r="C318" i="48"/>
  <c r="C317" i="48"/>
  <c r="C316" i="48"/>
  <c r="C305" i="48"/>
  <c r="C304" i="48"/>
  <c r="C303" i="48"/>
  <c r="C302" i="48"/>
  <c r="C301" i="48"/>
  <c r="C300" i="48"/>
  <c r="C299" i="48"/>
  <c r="C298" i="48"/>
  <c r="C297" i="48"/>
  <c r="C296" i="48"/>
  <c r="C295" i="48"/>
  <c r="C277" i="48"/>
  <c r="C276" i="48"/>
  <c r="C275" i="48"/>
  <c r="C274" i="48"/>
  <c r="C268" i="48"/>
  <c r="C267" i="48"/>
  <c r="C266" i="48"/>
  <c r="C265" i="48"/>
  <c r="C264" i="48"/>
  <c r="C263" i="48"/>
  <c r="C262" i="48"/>
  <c r="C255" i="48"/>
  <c r="C254" i="48"/>
  <c r="C253" i="48"/>
  <c r="C252" i="48"/>
  <c r="C251" i="48"/>
  <c r="C250" i="48"/>
  <c r="C249" i="48"/>
  <c r="C243" i="48"/>
  <c r="C242" i="48"/>
  <c r="C241" i="48"/>
  <c r="C240" i="48"/>
  <c r="C233" i="48"/>
  <c r="C232" i="48"/>
  <c r="C228" i="48"/>
  <c r="C227" i="48"/>
  <c r="C226" i="48"/>
  <c r="C225" i="48"/>
  <c r="C224" i="48"/>
  <c r="C223" i="48"/>
  <c r="C222" i="48"/>
  <c r="C221" i="48"/>
  <c r="C220" i="48"/>
  <c r="C219" i="48"/>
  <c r="C218" i="48"/>
  <c r="C217" i="48"/>
  <c r="C216" i="48"/>
  <c r="C215" i="48"/>
  <c r="C209" i="48"/>
  <c r="C208" i="48"/>
  <c r="C207" i="48"/>
  <c r="C206" i="48"/>
  <c r="C205" i="48"/>
  <c r="C204" i="48"/>
  <c r="C203" i="48"/>
  <c r="C202" i="48"/>
  <c r="C201" i="48"/>
  <c r="C199" i="48"/>
  <c r="C198" i="48"/>
  <c r="C197" i="48"/>
  <c r="C196" i="48"/>
  <c r="C195" i="48"/>
  <c r="C194" i="48"/>
  <c r="C193" i="48"/>
  <c r="C192" i="48"/>
  <c r="C191" i="48"/>
  <c r="C190" i="48"/>
  <c r="C189" i="48"/>
  <c r="C188" i="48"/>
  <c r="C187" i="48"/>
  <c r="C186" i="48"/>
  <c r="C185" i="48"/>
  <c r="C184" i="48"/>
  <c r="C183" i="48"/>
  <c r="C178" i="48"/>
  <c r="C177" i="48"/>
  <c r="C176" i="48"/>
  <c r="C175" i="48"/>
  <c r="C174" i="48"/>
  <c r="C173" i="48"/>
  <c r="C172" i="48"/>
  <c r="C171" i="48"/>
  <c r="C170" i="48"/>
  <c r="C169" i="48"/>
  <c r="C168" i="48"/>
  <c r="C165" i="48"/>
  <c r="C164" i="48"/>
  <c r="C163" i="48"/>
  <c r="C162" i="48"/>
  <c r="C161" i="48"/>
  <c r="C160" i="48"/>
  <c r="C159" i="48"/>
  <c r="C158" i="48"/>
  <c r="C157" i="48"/>
  <c r="C156" i="48"/>
  <c r="C155" i="48"/>
  <c r="C154" i="48"/>
  <c r="C153" i="48"/>
  <c r="C152" i="48"/>
  <c r="C151" i="48"/>
  <c r="C150" i="48"/>
  <c r="C149" i="48"/>
  <c r="C148" i="48"/>
  <c r="C147" i="48"/>
  <c r="C146" i="48"/>
  <c r="C139" i="48"/>
  <c r="C138" i="48"/>
  <c r="C137" i="48"/>
  <c r="C136" i="48"/>
  <c r="C135" i="48"/>
  <c r="C134" i="48"/>
  <c r="C133" i="48"/>
  <c r="C132" i="48"/>
  <c r="C123" i="48"/>
  <c r="C122" i="48"/>
  <c r="C121" i="48"/>
  <c r="C120" i="48"/>
  <c r="C119" i="48"/>
  <c r="C118" i="48"/>
  <c r="C117" i="48"/>
  <c r="C116" i="48"/>
  <c r="C115" i="48"/>
  <c r="C114" i="48"/>
  <c r="C113" i="48"/>
  <c r="C112" i="48"/>
  <c r="C111" i="48"/>
  <c r="C110" i="48"/>
  <c r="C109" i="48"/>
  <c r="C108" i="48"/>
  <c r="C107" i="48"/>
  <c r="C106" i="48"/>
  <c r="C105" i="48"/>
  <c r="C104" i="48"/>
  <c r="C103" i="48"/>
  <c r="C102" i="48"/>
  <c r="C101" i="48"/>
  <c r="C95" i="48"/>
  <c r="C94" i="48"/>
  <c r="C93" i="48"/>
  <c r="C92" i="48"/>
  <c r="C91" i="48"/>
  <c r="C90" i="48"/>
  <c r="C89" i="48"/>
  <c r="C82" i="48"/>
  <c r="C81" i="48"/>
  <c r="C80" i="48"/>
  <c r="C79" i="48"/>
  <c r="C78" i="48"/>
  <c r="C77" i="48"/>
  <c r="C76" i="48"/>
  <c r="C75" i="48"/>
  <c r="C74" i="48"/>
  <c r="C73" i="48"/>
  <c r="C72" i="48"/>
  <c r="C69" i="48"/>
  <c r="C68" i="48"/>
  <c r="C67" i="48"/>
  <c r="C66" i="48"/>
  <c r="C65" i="48"/>
  <c r="C64" i="48"/>
  <c r="C63" i="48"/>
  <c r="C62" i="48"/>
  <c r="C61" i="48"/>
  <c r="C57" i="48"/>
  <c r="C56" i="48"/>
  <c r="C55" i="48"/>
  <c r="C54" i="48"/>
  <c r="C53" i="48"/>
  <c r="C51" i="48"/>
  <c r="C50" i="48"/>
  <c r="C49" i="48"/>
  <c r="C36" i="48"/>
  <c r="C35" i="48"/>
  <c r="C34" i="48"/>
  <c r="C33" i="48"/>
  <c r="C32" i="48"/>
  <c r="C31" i="48"/>
  <c r="C30" i="48"/>
  <c r="C29" i="48"/>
  <c r="C48" i="48" l="1"/>
  <c r="C27" i="48" s="1"/>
  <c r="C333" i="45"/>
  <c r="C333" i="44"/>
  <c r="C333" i="41"/>
  <c r="C231" i="48"/>
  <c r="C333" i="40"/>
  <c r="C333" i="38"/>
  <c r="C333" i="32"/>
  <c r="C333" i="31"/>
  <c r="E333" i="33" s="1"/>
  <c r="C333" i="39"/>
  <c r="C333" i="36"/>
  <c r="C28" i="48"/>
  <c r="C70" i="48"/>
  <c r="C212" i="48"/>
  <c r="C131" i="48"/>
  <c r="C100" i="48"/>
  <c r="C239" i="48"/>
  <c r="C273" i="48"/>
  <c r="C145" i="48"/>
  <c r="C200" i="48"/>
  <c r="C60" i="48"/>
  <c r="C182" i="48"/>
  <c r="C248" i="48"/>
  <c r="C322" i="48"/>
  <c r="C52" i="48"/>
  <c r="C88" i="48"/>
  <c r="C167" i="48"/>
  <c r="C315" i="48"/>
  <c r="C261" i="48"/>
  <c r="C294" i="48"/>
  <c r="C27" i="45"/>
  <c r="K336" i="43"/>
  <c r="B207" i="40"/>
  <c r="C64" i="47"/>
  <c r="D214" i="45" l="1"/>
  <c r="D209" i="45"/>
  <c r="D207" i="45"/>
  <c r="D205" i="45"/>
  <c r="D203" i="45"/>
  <c r="D201" i="45"/>
  <c r="D200" i="45"/>
  <c r="D198" i="45"/>
  <c r="D196" i="45"/>
  <c r="D193" i="45"/>
  <c r="D190" i="45"/>
  <c r="D187" i="45"/>
  <c r="D165" i="45"/>
  <c r="D143" i="45"/>
  <c r="D141" i="45"/>
  <c r="D124" i="45"/>
  <c r="D122" i="45"/>
  <c r="D120" i="45"/>
  <c r="D118" i="45"/>
  <c r="D115" i="45"/>
  <c r="D112" i="45"/>
  <c r="D109" i="45"/>
  <c r="D107" i="45"/>
  <c r="D105" i="45"/>
  <c r="D103" i="45"/>
  <c r="D101" i="45"/>
  <c r="D98" i="45"/>
  <c r="D77" i="45"/>
  <c r="D75" i="45"/>
  <c r="D73" i="45"/>
  <c r="D71" i="45"/>
  <c r="D65" i="45"/>
  <c r="D63" i="45"/>
  <c r="D61" i="45"/>
  <c r="D60" i="45"/>
  <c r="D174" i="45"/>
  <c r="D158" i="45"/>
  <c r="D148" i="45"/>
  <c r="D90" i="45"/>
  <c r="D70" i="45"/>
  <c r="D67" i="45"/>
  <c r="D55" i="45"/>
  <c r="D235" i="45"/>
  <c r="D229" i="45"/>
  <c r="D129" i="45"/>
  <c r="D126" i="45"/>
  <c r="C86" i="45"/>
  <c r="D80" i="45"/>
  <c r="D68" i="45"/>
  <c r="D58" i="45"/>
  <c r="D224" i="45"/>
  <c r="D216" i="45"/>
  <c r="D180" i="45"/>
  <c r="D172" i="45"/>
  <c r="D167" i="45"/>
  <c r="D160" i="45"/>
  <c r="D150" i="45"/>
  <c r="D94" i="45"/>
  <c r="D225" i="45"/>
  <c r="D223" i="45"/>
  <c r="D221" i="45"/>
  <c r="D219" i="45"/>
  <c r="D217" i="45"/>
  <c r="D215" i="45"/>
  <c r="D213" i="45"/>
  <c r="D211" i="45"/>
  <c r="D195" i="45"/>
  <c r="D192" i="45"/>
  <c r="D189" i="45"/>
  <c r="D186" i="45"/>
  <c r="D181" i="45"/>
  <c r="D179" i="45"/>
  <c r="D177" i="45"/>
  <c r="D175" i="45"/>
  <c r="D173" i="45"/>
  <c r="D171" i="45"/>
  <c r="D169" i="45"/>
  <c r="D163" i="45"/>
  <c r="D161" i="45"/>
  <c r="D159" i="45"/>
  <c r="D157" i="45"/>
  <c r="D155" i="45"/>
  <c r="D153" i="45"/>
  <c r="D151" i="45"/>
  <c r="D149" i="45"/>
  <c r="D147" i="45"/>
  <c r="D140" i="45"/>
  <c r="D117" i="45"/>
  <c r="D114" i="45"/>
  <c r="D111" i="45"/>
  <c r="D97" i="45"/>
  <c r="D95" i="45"/>
  <c r="D93" i="45"/>
  <c r="D91" i="45"/>
  <c r="D89" i="45"/>
  <c r="D83" i="45"/>
  <c r="D56" i="45"/>
  <c r="D54" i="45"/>
  <c r="D226" i="45"/>
  <c r="D218" i="45"/>
  <c r="D176" i="45"/>
  <c r="D168" i="45"/>
  <c r="D162" i="45"/>
  <c r="D154" i="45"/>
  <c r="D92" i="45"/>
  <c r="D79" i="45"/>
  <c r="D166" i="45"/>
  <c r="D144" i="45"/>
  <c r="D142" i="45"/>
  <c r="D128" i="45"/>
  <c r="D125" i="45"/>
  <c r="D232" i="45"/>
  <c r="D220" i="45"/>
  <c r="D152" i="45"/>
  <c r="D130" i="45"/>
  <c r="D84" i="45"/>
  <c r="D53" i="45"/>
  <c r="D234" i="45"/>
  <c r="D230" i="45"/>
  <c r="D210" i="45"/>
  <c r="D99" i="45"/>
  <c r="D59" i="45"/>
  <c r="D222" i="45"/>
  <c r="D178" i="45"/>
  <c r="D170" i="45"/>
  <c r="D156" i="45"/>
  <c r="D146" i="45"/>
  <c r="D127" i="45"/>
  <c r="D96" i="45"/>
  <c r="D82" i="45"/>
  <c r="D135" i="45"/>
  <c r="D78" i="45"/>
  <c r="D202" i="45"/>
  <c r="D131" i="45"/>
  <c r="D106" i="45"/>
  <c r="D100" i="45"/>
  <c r="D199" i="45"/>
  <c r="D185" i="45"/>
  <c r="D197" i="45"/>
  <c r="D164" i="45"/>
  <c r="D113" i="45"/>
  <c r="D212" i="45"/>
  <c r="D133" i="45"/>
  <c r="D62" i="45"/>
  <c r="D121" i="45"/>
  <c r="D57" i="45"/>
  <c r="D66" i="45"/>
  <c r="D74" i="45"/>
  <c r="D183" i="45"/>
  <c r="D104" i="45"/>
  <c r="D102" i="45"/>
  <c r="D208" i="45"/>
  <c r="D138" i="45"/>
  <c r="D184" i="45"/>
  <c r="D116" i="45"/>
  <c r="D191" i="45"/>
  <c r="D88" i="45"/>
  <c r="D233" i="45"/>
  <c r="D228" i="45"/>
  <c r="D119" i="45"/>
  <c r="D188" i="45"/>
  <c r="D64" i="45"/>
  <c r="D231" i="45"/>
  <c r="D69" i="45"/>
  <c r="D136" i="45"/>
  <c r="D134" i="45"/>
  <c r="D110" i="45"/>
  <c r="D72" i="45"/>
  <c r="D132" i="45"/>
  <c r="D194" i="45"/>
  <c r="D76" i="45"/>
  <c r="D81" i="45"/>
  <c r="D139" i="45"/>
  <c r="D137" i="45"/>
  <c r="D108" i="45"/>
  <c r="D227" i="45"/>
  <c r="D145" i="45"/>
  <c r="D52" i="45"/>
  <c r="D206" i="45"/>
  <c r="D123" i="45"/>
  <c r="D204" i="45"/>
  <c r="D182" i="45"/>
  <c r="D85" i="45"/>
  <c r="C332" i="45"/>
  <c r="D33" i="45" s="1"/>
  <c r="D330" i="45"/>
  <c r="D236" i="45"/>
  <c r="C85" i="48"/>
  <c r="C236" i="48"/>
  <c r="C330" i="48"/>
  <c r="C238" i="48"/>
  <c r="C332" i="48" s="1"/>
  <c r="C27" i="44"/>
  <c r="D255" i="45" l="1"/>
  <c r="D30" i="45"/>
  <c r="D254" i="45"/>
  <c r="D248" i="45"/>
  <c r="D35" i="45"/>
  <c r="D240" i="45"/>
  <c r="D239" i="45"/>
  <c r="D29" i="45"/>
  <c r="D34" i="45"/>
  <c r="C334" i="45"/>
  <c r="D334" i="45" s="1"/>
  <c r="D319" i="45"/>
  <c r="D314" i="45"/>
  <c r="D311" i="45"/>
  <c r="D308" i="45"/>
  <c r="D305" i="45"/>
  <c r="D303" i="45"/>
  <c r="D301" i="45"/>
  <c r="D299" i="45"/>
  <c r="D297" i="45"/>
  <c r="D295" i="45"/>
  <c r="D294" i="45"/>
  <c r="D329" i="45"/>
  <c r="D327" i="45"/>
  <c r="D292" i="45"/>
  <c r="D290" i="45"/>
  <c r="D287" i="45"/>
  <c r="D284" i="45"/>
  <c r="D281" i="45"/>
  <c r="D278" i="45"/>
  <c r="D285" i="45"/>
  <c r="D320" i="45"/>
  <c r="D313" i="45"/>
  <c r="D310" i="45"/>
  <c r="D307" i="45"/>
  <c r="D276" i="45"/>
  <c r="D274" i="45"/>
  <c r="D321" i="45"/>
  <c r="D275" i="45"/>
  <c r="D304" i="45"/>
  <c r="D302" i="45"/>
  <c r="D300" i="45"/>
  <c r="D298" i="45"/>
  <c r="D296" i="45"/>
  <c r="D289" i="45"/>
  <c r="D286" i="45"/>
  <c r="D283" i="45"/>
  <c r="D280" i="45"/>
  <c r="D282" i="45"/>
  <c r="D328" i="45"/>
  <c r="D312" i="45"/>
  <c r="D309" i="45"/>
  <c r="D306" i="45"/>
  <c r="D293" i="45"/>
  <c r="D291" i="45"/>
  <c r="D288" i="45"/>
  <c r="D279" i="45"/>
  <c r="D317" i="45"/>
  <c r="D273" i="45"/>
  <c r="D322" i="45"/>
  <c r="D277" i="45"/>
  <c r="D323" i="45"/>
  <c r="D325" i="45"/>
  <c r="D318" i="45"/>
  <c r="D316" i="45"/>
  <c r="D324" i="45"/>
  <c r="D326" i="45"/>
  <c r="D315" i="45"/>
  <c r="D333" i="45"/>
  <c r="D86" i="45"/>
  <c r="C237" i="45"/>
  <c r="D237" i="45" s="1"/>
  <c r="D214" i="44"/>
  <c r="D143" i="44"/>
  <c r="D141" i="44"/>
  <c r="D124" i="44"/>
  <c r="D98" i="44"/>
  <c r="D71" i="44"/>
  <c r="D150" i="44"/>
  <c r="D90" i="44"/>
  <c r="D235" i="44"/>
  <c r="D229" i="44"/>
  <c r="D129" i="44"/>
  <c r="D126" i="44"/>
  <c r="C86" i="44"/>
  <c r="D80" i="44"/>
  <c r="D68" i="44"/>
  <c r="D58" i="44"/>
  <c r="D232" i="44"/>
  <c r="D226" i="44"/>
  <c r="D224" i="44"/>
  <c r="D220" i="44"/>
  <c r="D178" i="44"/>
  <c r="D172" i="44"/>
  <c r="D154" i="44"/>
  <c r="D94" i="44"/>
  <c r="D67" i="44"/>
  <c r="D55" i="44"/>
  <c r="D225" i="44"/>
  <c r="D223" i="44"/>
  <c r="D221" i="44"/>
  <c r="D219" i="44"/>
  <c r="D217" i="44"/>
  <c r="D215" i="44"/>
  <c r="D213" i="44"/>
  <c r="D211" i="44"/>
  <c r="D195" i="44"/>
  <c r="D192" i="44"/>
  <c r="D189" i="44"/>
  <c r="D186" i="44"/>
  <c r="D181" i="44"/>
  <c r="D179" i="44"/>
  <c r="D177" i="44"/>
  <c r="D175" i="44"/>
  <c r="D173" i="44"/>
  <c r="D171" i="44"/>
  <c r="D169" i="44"/>
  <c r="D163" i="44"/>
  <c r="D161" i="44"/>
  <c r="D159" i="44"/>
  <c r="D157" i="44"/>
  <c r="D155" i="44"/>
  <c r="D153" i="44"/>
  <c r="D151" i="44"/>
  <c r="D149" i="44"/>
  <c r="D147" i="44"/>
  <c r="D140" i="44"/>
  <c r="D117" i="44"/>
  <c r="D114" i="44"/>
  <c r="D111" i="44"/>
  <c r="D97" i="44"/>
  <c r="D95" i="44"/>
  <c r="D93" i="44"/>
  <c r="D91" i="44"/>
  <c r="D89" i="44"/>
  <c r="D88" i="44"/>
  <c r="D83" i="44"/>
  <c r="D56" i="44"/>
  <c r="D54" i="44"/>
  <c r="D218" i="44"/>
  <c r="D168" i="44"/>
  <c r="D162" i="44"/>
  <c r="D156" i="44"/>
  <c r="D130" i="44"/>
  <c r="D92" i="44"/>
  <c r="D84" i="44"/>
  <c r="D82" i="44"/>
  <c r="D79" i="44"/>
  <c r="D208" i="44"/>
  <c r="D206" i="44"/>
  <c r="D204" i="44"/>
  <c r="D202" i="44"/>
  <c r="D199" i="44"/>
  <c r="D197" i="44"/>
  <c r="D166" i="44"/>
  <c r="D144" i="44"/>
  <c r="D142" i="44"/>
  <c r="D128" i="44"/>
  <c r="D125" i="44"/>
  <c r="D222" i="44"/>
  <c r="D216" i="44"/>
  <c r="D176" i="44"/>
  <c r="D170" i="44"/>
  <c r="D158" i="44"/>
  <c r="D152" i="44"/>
  <c r="D146" i="44"/>
  <c r="D96" i="44"/>
  <c r="D53" i="44"/>
  <c r="D234" i="44"/>
  <c r="D230" i="44"/>
  <c r="D210" i="44"/>
  <c r="D99" i="44"/>
  <c r="D59" i="44"/>
  <c r="D180" i="44"/>
  <c r="D174" i="44"/>
  <c r="D160" i="44"/>
  <c r="D148" i="44"/>
  <c r="D127" i="44"/>
  <c r="D120" i="44"/>
  <c r="D200" i="44"/>
  <c r="D62" i="44"/>
  <c r="D165" i="44"/>
  <c r="D164" i="44"/>
  <c r="D133" i="44"/>
  <c r="D187" i="44"/>
  <c r="D75" i="44"/>
  <c r="D137" i="44"/>
  <c r="D63" i="44"/>
  <c r="D119" i="44"/>
  <c r="D64" i="44"/>
  <c r="D233" i="44"/>
  <c r="D122" i="44"/>
  <c r="D196" i="44"/>
  <c r="D81" i="44"/>
  <c r="D185" i="44"/>
  <c r="D77" i="44"/>
  <c r="D136" i="44"/>
  <c r="D101" i="44"/>
  <c r="D193" i="44"/>
  <c r="D78" i="44"/>
  <c r="D188" i="44"/>
  <c r="D66" i="44"/>
  <c r="D184" i="44"/>
  <c r="D132" i="44"/>
  <c r="D103" i="44"/>
  <c r="D191" i="44"/>
  <c r="D183" i="44"/>
  <c r="D135" i="44"/>
  <c r="D100" i="44"/>
  <c r="D139" i="44"/>
  <c r="D104" i="44"/>
  <c r="D205" i="44"/>
  <c r="D112" i="44"/>
  <c r="D194" i="44"/>
  <c r="D102" i="44"/>
  <c r="D203" i="44"/>
  <c r="D52" i="44"/>
  <c r="D131" i="44"/>
  <c r="D106" i="44"/>
  <c r="D201" i="44"/>
  <c r="D116" i="44"/>
  <c r="D167" i="44"/>
  <c r="D107" i="44"/>
  <c r="D227" i="44"/>
  <c r="D118" i="44"/>
  <c r="D198" i="44"/>
  <c r="D105" i="44"/>
  <c r="D209" i="44"/>
  <c r="D138" i="44"/>
  <c r="D57" i="44"/>
  <c r="D109" i="44"/>
  <c r="D207" i="44"/>
  <c r="D60" i="44"/>
  <c r="D121" i="44"/>
  <c r="D108" i="44"/>
  <c r="D228" i="44"/>
  <c r="D73" i="44"/>
  <c r="D61" i="44"/>
  <c r="D115" i="44"/>
  <c r="D72" i="44"/>
  <c r="D69" i="44"/>
  <c r="D123" i="44"/>
  <c r="D212" i="44"/>
  <c r="D65" i="44"/>
  <c r="D182" i="44"/>
  <c r="D70" i="44"/>
  <c r="D134" i="44"/>
  <c r="D113" i="44"/>
  <c r="D76" i="44"/>
  <c r="D190" i="44"/>
  <c r="D145" i="44"/>
  <c r="D110" i="44"/>
  <c r="D74" i="44"/>
  <c r="D236" i="44"/>
  <c r="D231" i="44"/>
  <c r="D85" i="44"/>
  <c r="D330" i="44"/>
  <c r="C332" i="44"/>
  <c r="D257" i="44" s="1"/>
  <c r="C333" i="48"/>
  <c r="C334" i="48" s="1"/>
  <c r="C86" i="48"/>
  <c r="C237" i="48" s="1"/>
  <c r="C27" i="41"/>
  <c r="C332" i="41" s="1"/>
  <c r="C27" i="40"/>
  <c r="C27" i="39"/>
  <c r="D238" i="45" l="1"/>
  <c r="D28" i="45"/>
  <c r="D254" i="44"/>
  <c r="D248" i="44"/>
  <c r="D238" i="44" s="1"/>
  <c r="D33" i="44"/>
  <c r="D49" i="44"/>
  <c r="D48" i="44" s="1"/>
  <c r="D34" i="44"/>
  <c r="D35" i="44"/>
  <c r="D29" i="44"/>
  <c r="D30" i="44"/>
  <c r="D86" i="44"/>
  <c r="C237" i="44"/>
  <c r="D237" i="44" s="1"/>
  <c r="C334" i="44"/>
  <c r="D334" i="44" s="1"/>
  <c r="D319" i="44"/>
  <c r="D314" i="44"/>
  <c r="D311" i="44"/>
  <c r="D308" i="44"/>
  <c r="D305" i="44"/>
  <c r="D303" i="44"/>
  <c r="D301" i="44"/>
  <c r="D299" i="44"/>
  <c r="D297" i="44"/>
  <c r="D295" i="44"/>
  <c r="D329" i="44"/>
  <c r="D327" i="44"/>
  <c r="D292" i="44"/>
  <c r="D290" i="44"/>
  <c r="D287" i="44"/>
  <c r="D284" i="44"/>
  <c r="D281" i="44"/>
  <c r="D278" i="44"/>
  <c r="D285" i="44"/>
  <c r="D320" i="44"/>
  <c r="D313" i="44"/>
  <c r="D310" i="44"/>
  <c r="D307" i="44"/>
  <c r="D276" i="44"/>
  <c r="D274" i="44"/>
  <c r="D304" i="44"/>
  <c r="D302" i="44"/>
  <c r="D300" i="44"/>
  <c r="D298" i="44"/>
  <c r="D296" i="44"/>
  <c r="D289" i="44"/>
  <c r="D286" i="44"/>
  <c r="D283" i="44"/>
  <c r="D280" i="44"/>
  <c r="D321" i="44"/>
  <c r="D279" i="44"/>
  <c r="D328" i="44"/>
  <c r="D312" i="44"/>
  <c r="D309" i="44"/>
  <c r="D306" i="44"/>
  <c r="D293" i="44"/>
  <c r="D291" i="44"/>
  <c r="D288" i="44"/>
  <c r="D282" i="44"/>
  <c r="D275" i="44"/>
  <c r="D317" i="44"/>
  <c r="D294" i="44"/>
  <c r="D324" i="44"/>
  <c r="D323" i="44"/>
  <c r="D318" i="44"/>
  <c r="D325" i="44"/>
  <c r="D326" i="44"/>
  <c r="D316" i="44"/>
  <c r="D277" i="44"/>
  <c r="D322" i="44"/>
  <c r="D273" i="44"/>
  <c r="D315" i="44"/>
  <c r="D333" i="44"/>
  <c r="D214" i="41"/>
  <c r="D143" i="41"/>
  <c r="D141" i="41"/>
  <c r="D124" i="41"/>
  <c r="D98" i="41"/>
  <c r="D71" i="41"/>
  <c r="D222" i="41"/>
  <c r="D158" i="41"/>
  <c r="D92" i="41"/>
  <c r="D235" i="41"/>
  <c r="D229" i="41"/>
  <c r="D129" i="41"/>
  <c r="D126" i="41"/>
  <c r="C86" i="41"/>
  <c r="D58" i="41"/>
  <c r="D226" i="41"/>
  <c r="D220" i="41"/>
  <c r="D180" i="41"/>
  <c r="D172" i="41"/>
  <c r="D168" i="41"/>
  <c r="D154" i="41"/>
  <c r="D146" i="41"/>
  <c r="D127" i="41"/>
  <c r="D82" i="41"/>
  <c r="D53" i="41"/>
  <c r="D225" i="41"/>
  <c r="D223" i="41"/>
  <c r="D221" i="41"/>
  <c r="D219" i="41"/>
  <c r="D217" i="41"/>
  <c r="D215" i="41"/>
  <c r="D213" i="41"/>
  <c r="D211" i="41"/>
  <c r="D195" i="41"/>
  <c r="D192" i="41"/>
  <c r="D189" i="41"/>
  <c r="D186" i="41"/>
  <c r="D181" i="41"/>
  <c r="D179" i="41"/>
  <c r="D177" i="41"/>
  <c r="D175" i="41"/>
  <c r="D173" i="41"/>
  <c r="D171" i="41"/>
  <c r="D169" i="41"/>
  <c r="D163" i="41"/>
  <c r="D161" i="41"/>
  <c r="D159" i="41"/>
  <c r="D157" i="41"/>
  <c r="D155" i="41"/>
  <c r="D153" i="41"/>
  <c r="D151" i="41"/>
  <c r="D149" i="41"/>
  <c r="D147" i="41"/>
  <c r="D140" i="41"/>
  <c r="D117" i="41"/>
  <c r="D114" i="41"/>
  <c r="D111" i="41"/>
  <c r="D97" i="41"/>
  <c r="D95" i="41"/>
  <c r="D93" i="41"/>
  <c r="D91" i="41"/>
  <c r="D89" i="41"/>
  <c r="D88" i="41"/>
  <c r="D83" i="41"/>
  <c r="D56" i="41"/>
  <c r="D54" i="41"/>
  <c r="D224" i="41"/>
  <c r="D216" i="41"/>
  <c r="D174" i="41"/>
  <c r="D156" i="41"/>
  <c r="D148" i="41"/>
  <c r="D130" i="41"/>
  <c r="D96" i="41"/>
  <c r="D94" i="41"/>
  <c r="D67" i="41"/>
  <c r="D55" i="41"/>
  <c r="D208" i="41"/>
  <c r="D206" i="41"/>
  <c r="D204" i="41"/>
  <c r="D202" i="41"/>
  <c r="D199" i="41"/>
  <c r="D197" i="41"/>
  <c r="D166" i="41"/>
  <c r="D144" i="41"/>
  <c r="D142" i="41"/>
  <c r="D128" i="41"/>
  <c r="D125" i="41"/>
  <c r="D176" i="41"/>
  <c r="D162" i="41"/>
  <c r="D150" i="41"/>
  <c r="D90" i="41"/>
  <c r="D84" i="41"/>
  <c r="D79" i="41"/>
  <c r="D234" i="41"/>
  <c r="D230" i="41"/>
  <c r="D210" i="41"/>
  <c r="D99" i="41"/>
  <c r="D59" i="41"/>
  <c r="D232" i="41"/>
  <c r="D218" i="41"/>
  <c r="D178" i="41"/>
  <c r="D170" i="41"/>
  <c r="D160" i="41"/>
  <c r="D152" i="41"/>
  <c r="D69" i="41"/>
  <c r="D133" i="41"/>
  <c r="D201" i="41"/>
  <c r="D62" i="41"/>
  <c r="D165" i="41"/>
  <c r="D118" i="41"/>
  <c r="D193" i="41"/>
  <c r="D66" i="41"/>
  <c r="D119" i="41"/>
  <c r="D212" i="41"/>
  <c r="D134" i="41"/>
  <c r="D102" i="41"/>
  <c r="D184" i="41"/>
  <c r="D72" i="41"/>
  <c r="D74" i="41"/>
  <c r="D136" i="41"/>
  <c r="D207" i="41"/>
  <c r="D65" i="41"/>
  <c r="D200" i="41"/>
  <c r="D121" i="41"/>
  <c r="D205" i="41"/>
  <c r="D68" i="41"/>
  <c r="D182" i="41"/>
  <c r="D73" i="41"/>
  <c r="D164" i="41"/>
  <c r="D77" i="41"/>
  <c r="D139" i="41"/>
  <c r="D57" i="41"/>
  <c r="D116" i="41"/>
  <c r="D167" i="41"/>
  <c r="D101" i="41"/>
  <c r="D233" i="41"/>
  <c r="D78" i="41"/>
  <c r="D137" i="41"/>
  <c r="D105" i="41"/>
  <c r="D194" i="41"/>
  <c r="D122" i="41"/>
  <c r="D203" i="41"/>
  <c r="D61" i="41"/>
  <c r="D115" i="41"/>
  <c r="D120" i="41"/>
  <c r="D185" i="41"/>
  <c r="D104" i="41"/>
  <c r="D80" i="41"/>
  <c r="D183" i="41"/>
  <c r="D108" i="41"/>
  <c r="D198" i="41"/>
  <c r="D100" i="41"/>
  <c r="D132" i="41"/>
  <c r="D209" i="41"/>
  <c r="D64" i="41"/>
  <c r="D145" i="41"/>
  <c r="D110" i="41"/>
  <c r="D60" i="41"/>
  <c r="D123" i="41"/>
  <c r="D191" i="41"/>
  <c r="D107" i="41"/>
  <c r="D112" i="41"/>
  <c r="D187" i="41"/>
  <c r="D63" i="41"/>
  <c r="D113" i="41"/>
  <c r="D52" i="41"/>
  <c r="D131" i="41"/>
  <c r="D228" i="41"/>
  <c r="D81" i="41"/>
  <c r="D190" i="41"/>
  <c r="D135" i="41"/>
  <c r="D138" i="41"/>
  <c r="D103" i="41"/>
  <c r="D196" i="41"/>
  <c r="D70" i="41"/>
  <c r="D106" i="41"/>
  <c r="D75" i="41"/>
  <c r="D227" i="41"/>
  <c r="D188" i="41"/>
  <c r="D76" i="41"/>
  <c r="D109" i="41"/>
  <c r="D231" i="41"/>
  <c r="D330" i="41"/>
  <c r="D85" i="41"/>
  <c r="D236" i="41"/>
  <c r="D31" i="41"/>
  <c r="D214" i="40"/>
  <c r="D209" i="40"/>
  <c r="D207" i="40"/>
  <c r="D205" i="40"/>
  <c r="D203" i="40"/>
  <c r="D201" i="40"/>
  <c r="D200" i="40"/>
  <c r="D198" i="40"/>
  <c r="D196" i="40"/>
  <c r="D193" i="40"/>
  <c r="D190" i="40"/>
  <c r="D187" i="40"/>
  <c r="D165" i="40"/>
  <c r="D143" i="40"/>
  <c r="D141" i="40"/>
  <c r="D124" i="40"/>
  <c r="D122" i="40"/>
  <c r="D120" i="40"/>
  <c r="D118" i="40"/>
  <c r="D115" i="40"/>
  <c r="D112" i="40"/>
  <c r="D109" i="40"/>
  <c r="D107" i="40"/>
  <c r="D105" i="40"/>
  <c r="D103" i="40"/>
  <c r="D101" i="40"/>
  <c r="D98" i="40"/>
  <c r="D77" i="40"/>
  <c r="D75" i="40"/>
  <c r="D73" i="40"/>
  <c r="D71" i="40"/>
  <c r="D65" i="40"/>
  <c r="D63" i="40"/>
  <c r="D61" i="40"/>
  <c r="D60" i="40"/>
  <c r="D144" i="40"/>
  <c r="D128" i="40"/>
  <c r="D125" i="40"/>
  <c r="D121" i="40"/>
  <c r="D106" i="40"/>
  <c r="D76" i="40"/>
  <c r="D69" i="40"/>
  <c r="D66" i="40"/>
  <c r="D62" i="40"/>
  <c r="D235" i="40"/>
  <c r="D229" i="40"/>
  <c r="D129" i="40"/>
  <c r="D126" i="40"/>
  <c r="C86" i="40"/>
  <c r="D80" i="40"/>
  <c r="D68" i="40"/>
  <c r="D58" i="40"/>
  <c r="D166" i="40"/>
  <c r="D102" i="40"/>
  <c r="D81" i="40"/>
  <c r="D213" i="40"/>
  <c r="D211" i="40"/>
  <c r="D181" i="40"/>
  <c r="D179" i="40"/>
  <c r="D140" i="40"/>
  <c r="D83" i="40"/>
  <c r="D142" i="40"/>
  <c r="D123" i="40"/>
  <c r="D108" i="40"/>
  <c r="D104" i="40"/>
  <c r="D78" i="40"/>
  <c r="D74" i="40"/>
  <c r="D72" i="40"/>
  <c r="D64" i="40"/>
  <c r="D208" i="40"/>
  <c r="D206" i="40"/>
  <c r="D204" i="40"/>
  <c r="D202" i="40"/>
  <c r="D199" i="40"/>
  <c r="D197" i="40"/>
  <c r="D234" i="40"/>
  <c r="D230" i="40"/>
  <c r="D210" i="40"/>
  <c r="D99" i="40"/>
  <c r="D59" i="40"/>
  <c r="D232" i="40"/>
  <c r="D226" i="40"/>
  <c r="D224" i="40"/>
  <c r="D222" i="40"/>
  <c r="D220" i="40"/>
  <c r="D218" i="40"/>
  <c r="D216" i="40"/>
  <c r="D180" i="40"/>
  <c r="D178" i="40"/>
  <c r="D176" i="40"/>
  <c r="D174" i="40"/>
  <c r="D172" i="40"/>
  <c r="D170" i="40"/>
  <c r="D168" i="40"/>
  <c r="D162" i="40"/>
  <c r="D160" i="40"/>
  <c r="D158" i="40"/>
  <c r="D156" i="40"/>
  <c r="D154" i="40"/>
  <c r="D152" i="40"/>
  <c r="D150" i="40"/>
  <c r="D148" i="40"/>
  <c r="D146" i="40"/>
  <c r="D130" i="40"/>
  <c r="D127" i="40"/>
  <c r="D96" i="40"/>
  <c r="D94" i="40"/>
  <c r="D92" i="40"/>
  <c r="D90" i="40"/>
  <c r="D79" i="40"/>
  <c r="D82" i="40"/>
  <c r="D67" i="40"/>
  <c r="D53" i="40"/>
  <c r="D84" i="40"/>
  <c r="D55" i="40"/>
  <c r="D70" i="40"/>
  <c r="D93" i="40"/>
  <c r="D149" i="40"/>
  <c r="D97" i="40"/>
  <c r="D171" i="40"/>
  <c r="D188" i="40"/>
  <c r="D153" i="40"/>
  <c r="D95" i="40"/>
  <c r="D167" i="40"/>
  <c r="D56" i="40"/>
  <c r="D186" i="40"/>
  <c r="D110" i="40"/>
  <c r="D137" i="40"/>
  <c r="D182" i="40"/>
  <c r="D114" i="40"/>
  <c r="D177" i="40"/>
  <c r="D194" i="40"/>
  <c r="D159" i="40"/>
  <c r="D227" i="40"/>
  <c r="D100" i="40"/>
  <c r="D175" i="40"/>
  <c r="D111" i="40"/>
  <c r="D192" i="40"/>
  <c r="D135" i="40"/>
  <c r="D173" i="40"/>
  <c r="D132" i="40"/>
  <c r="D184" i="40"/>
  <c r="D85" i="40"/>
  <c r="D219" i="40"/>
  <c r="D217" i="40"/>
  <c r="D116" i="40"/>
  <c r="D185" i="40"/>
  <c r="D117" i="40"/>
  <c r="D215" i="40"/>
  <c r="D228" i="40"/>
  <c r="D54" i="40"/>
  <c r="D183" i="40"/>
  <c r="D131" i="40"/>
  <c r="D189" i="40"/>
  <c r="D119" i="40"/>
  <c r="D225" i="40"/>
  <c r="D223" i="40"/>
  <c r="D133" i="40"/>
  <c r="D191" i="40"/>
  <c r="D151" i="40"/>
  <c r="D221" i="40"/>
  <c r="D147" i="40"/>
  <c r="D57" i="40"/>
  <c r="D138" i="40"/>
  <c r="D195" i="40"/>
  <c r="D155" i="40"/>
  <c r="D89" i="40"/>
  <c r="D52" i="40"/>
  <c r="D136" i="40"/>
  <c r="D157" i="40"/>
  <c r="D233" i="40"/>
  <c r="D169" i="40"/>
  <c r="D113" i="40"/>
  <c r="D91" i="40"/>
  <c r="D164" i="40"/>
  <c r="D212" i="40"/>
  <c r="D161" i="40"/>
  <c r="D145" i="40"/>
  <c r="D88" i="40"/>
  <c r="D139" i="40"/>
  <c r="D134" i="40"/>
  <c r="D163" i="40"/>
  <c r="D236" i="40"/>
  <c r="D330" i="40"/>
  <c r="D231" i="40"/>
  <c r="C332" i="40"/>
  <c r="D31" i="40" s="1"/>
  <c r="D214" i="39"/>
  <c r="D143" i="39"/>
  <c r="D141" i="39"/>
  <c r="D124" i="39"/>
  <c r="D98" i="39"/>
  <c r="D71" i="39"/>
  <c r="D216" i="39"/>
  <c r="D180" i="39"/>
  <c r="D172" i="39"/>
  <c r="D158" i="39"/>
  <c r="D152" i="39"/>
  <c r="D94" i="39"/>
  <c r="D53" i="39"/>
  <c r="D235" i="39"/>
  <c r="D229" i="39"/>
  <c r="D138" i="39"/>
  <c r="D136" i="39"/>
  <c r="D134" i="39"/>
  <c r="D129" i="39"/>
  <c r="D126" i="39"/>
  <c r="C86" i="39"/>
  <c r="D80" i="39"/>
  <c r="D58" i="39"/>
  <c r="D224" i="39"/>
  <c r="D218" i="39"/>
  <c r="D160" i="39"/>
  <c r="D127" i="39"/>
  <c r="D92" i="39"/>
  <c r="D84" i="39"/>
  <c r="D79" i="39"/>
  <c r="D225" i="39"/>
  <c r="D223" i="39"/>
  <c r="D221" i="39"/>
  <c r="D219" i="39"/>
  <c r="D217" i="39"/>
  <c r="D215" i="39"/>
  <c r="D213" i="39"/>
  <c r="D211" i="39"/>
  <c r="D195" i="39"/>
  <c r="D192" i="39"/>
  <c r="D189" i="39"/>
  <c r="D186" i="39"/>
  <c r="D181" i="39"/>
  <c r="D179" i="39"/>
  <c r="D177" i="39"/>
  <c r="D175" i="39"/>
  <c r="D173" i="39"/>
  <c r="D171" i="39"/>
  <c r="D169" i="39"/>
  <c r="D163" i="39"/>
  <c r="D161" i="39"/>
  <c r="D159" i="39"/>
  <c r="D157" i="39"/>
  <c r="D155" i="39"/>
  <c r="D153" i="39"/>
  <c r="D151" i="39"/>
  <c r="D149" i="39"/>
  <c r="D147" i="39"/>
  <c r="D140" i="39"/>
  <c r="D117" i="39"/>
  <c r="D114" i="39"/>
  <c r="D111" i="39"/>
  <c r="D97" i="39"/>
  <c r="D95" i="39"/>
  <c r="D93" i="39"/>
  <c r="D91" i="39"/>
  <c r="D89" i="39"/>
  <c r="D88" i="39"/>
  <c r="D83" i="39"/>
  <c r="D56" i="39"/>
  <c r="D54" i="39"/>
  <c r="D176" i="39"/>
  <c r="D150" i="39"/>
  <c r="D82" i="39"/>
  <c r="D208" i="39"/>
  <c r="D206" i="39"/>
  <c r="D204" i="39"/>
  <c r="D202" i="39"/>
  <c r="D199" i="39"/>
  <c r="D197" i="39"/>
  <c r="D166" i="39"/>
  <c r="D144" i="39"/>
  <c r="D142" i="39"/>
  <c r="D128" i="39"/>
  <c r="D125" i="39"/>
  <c r="D123" i="39"/>
  <c r="D121" i="39"/>
  <c r="D108" i="39"/>
  <c r="D106" i="39"/>
  <c r="D104" i="39"/>
  <c r="D102" i="39"/>
  <c r="D81" i="39"/>
  <c r="D78" i="39"/>
  <c r="D76" i="39"/>
  <c r="D74" i="39"/>
  <c r="D72" i="39"/>
  <c r="D69" i="39"/>
  <c r="D66" i="39"/>
  <c r="D64" i="39"/>
  <c r="D62" i="39"/>
  <c r="D220" i="39"/>
  <c r="D178" i="39"/>
  <c r="D170" i="39"/>
  <c r="D162" i="39"/>
  <c r="D154" i="39"/>
  <c r="D146" i="39"/>
  <c r="D130" i="39"/>
  <c r="D96" i="39"/>
  <c r="D90" i="39"/>
  <c r="D67" i="39"/>
  <c r="D234" i="39"/>
  <c r="D230" i="39"/>
  <c r="D210" i="39"/>
  <c r="D99" i="39"/>
  <c r="D59" i="39"/>
  <c r="D232" i="39"/>
  <c r="D226" i="39"/>
  <c r="D222" i="39"/>
  <c r="D174" i="39"/>
  <c r="D168" i="39"/>
  <c r="D156" i="39"/>
  <c r="D148" i="39"/>
  <c r="D55" i="39"/>
  <c r="D190" i="39"/>
  <c r="D101" i="39"/>
  <c r="D118" i="39"/>
  <c r="D227" i="39"/>
  <c r="D184" i="39"/>
  <c r="D185" i="39"/>
  <c r="D107" i="39"/>
  <c r="D137" i="39"/>
  <c r="D233" i="39"/>
  <c r="D68" i="39"/>
  <c r="D194" i="39"/>
  <c r="D73" i="39"/>
  <c r="D203" i="39"/>
  <c r="D231" i="39"/>
  <c r="D115" i="39"/>
  <c r="D116" i="39"/>
  <c r="D191" i="39"/>
  <c r="D110" i="39"/>
  <c r="D165" i="39"/>
  <c r="D183" i="39"/>
  <c r="D105" i="39"/>
  <c r="D198" i="39"/>
  <c r="D122" i="39"/>
  <c r="D209" i="39"/>
  <c r="D120" i="39"/>
  <c r="D201" i="39"/>
  <c r="D135" i="39"/>
  <c r="D200" i="39"/>
  <c r="D70" i="39"/>
  <c r="D187" i="39"/>
  <c r="D113" i="39"/>
  <c r="D132" i="39"/>
  <c r="D228" i="39"/>
  <c r="D57" i="39"/>
  <c r="D133" i="39"/>
  <c r="D207" i="39"/>
  <c r="D65" i="39"/>
  <c r="D212" i="39"/>
  <c r="D75" i="39"/>
  <c r="D193" i="39"/>
  <c r="D119" i="39"/>
  <c r="D131" i="39"/>
  <c r="D145" i="39"/>
  <c r="D61" i="39"/>
  <c r="D60" i="39"/>
  <c r="D139" i="39"/>
  <c r="D112" i="39"/>
  <c r="D205" i="39"/>
  <c r="D182" i="39"/>
  <c r="D52" i="39"/>
  <c r="D164" i="39"/>
  <c r="D103" i="39"/>
  <c r="D77" i="39"/>
  <c r="D167" i="39"/>
  <c r="D63" i="39"/>
  <c r="D188" i="39"/>
  <c r="D196" i="39"/>
  <c r="D109" i="39"/>
  <c r="D100" i="39"/>
  <c r="D85" i="39"/>
  <c r="D236" i="39"/>
  <c r="D330" i="39"/>
  <c r="C332" i="39"/>
  <c r="H347" i="44"/>
  <c r="D28" i="44" l="1"/>
  <c r="D35" i="41"/>
  <c r="D30" i="41"/>
  <c r="D29" i="41"/>
  <c r="D34" i="41"/>
  <c r="D254" i="41"/>
  <c r="D248" i="41"/>
  <c r="D240" i="41"/>
  <c r="D239" i="41"/>
  <c r="D35" i="40"/>
  <c r="D29" i="40"/>
  <c r="D30" i="40"/>
  <c r="D34" i="40"/>
  <c r="D254" i="40"/>
  <c r="D248" i="40"/>
  <c r="D238" i="40" s="1"/>
  <c r="D30" i="39"/>
  <c r="D31" i="39"/>
  <c r="D35" i="39"/>
  <c r="D34" i="39"/>
  <c r="D257" i="39"/>
  <c r="D29" i="39"/>
  <c r="D254" i="39"/>
  <c r="D248" i="39"/>
  <c r="D238" i="39" s="1"/>
  <c r="C334" i="41"/>
  <c r="D334" i="41" s="1"/>
  <c r="D314" i="41"/>
  <c r="D311" i="41"/>
  <c r="D308" i="41"/>
  <c r="D288" i="41"/>
  <c r="D279" i="41"/>
  <c r="D329" i="41"/>
  <c r="D327" i="41"/>
  <c r="D292" i="41"/>
  <c r="D290" i="41"/>
  <c r="D287" i="41"/>
  <c r="D284" i="41"/>
  <c r="D281" i="41"/>
  <c r="D278" i="41"/>
  <c r="D285" i="41"/>
  <c r="D275" i="41"/>
  <c r="D320" i="41"/>
  <c r="D313" i="41"/>
  <c r="D310" i="41"/>
  <c r="D307" i="41"/>
  <c r="D276" i="41"/>
  <c r="D274" i="41"/>
  <c r="D304" i="41"/>
  <c r="D302" i="41"/>
  <c r="D300" i="41"/>
  <c r="D298" i="41"/>
  <c r="D296" i="41"/>
  <c r="D289" i="41"/>
  <c r="D286" i="41"/>
  <c r="D283" i="41"/>
  <c r="D280" i="41"/>
  <c r="D282" i="41"/>
  <c r="D328" i="41"/>
  <c r="D312" i="41"/>
  <c r="D309" i="41"/>
  <c r="D306" i="41"/>
  <c r="D293" i="41"/>
  <c r="D291" i="41"/>
  <c r="D321" i="41"/>
  <c r="D317" i="41"/>
  <c r="D297" i="41"/>
  <c r="D305" i="41"/>
  <c r="D299" i="41"/>
  <c r="D303" i="41"/>
  <c r="D319" i="41"/>
  <c r="D323" i="41"/>
  <c r="D294" i="41"/>
  <c r="D318" i="41"/>
  <c r="D316" i="41"/>
  <c r="D326" i="41"/>
  <c r="D295" i="41"/>
  <c r="D322" i="41"/>
  <c r="D324" i="41"/>
  <c r="D301" i="41"/>
  <c r="D273" i="41"/>
  <c r="D325" i="41"/>
  <c r="D277" i="41"/>
  <c r="D315" i="41"/>
  <c r="D333" i="41"/>
  <c r="D86" i="41"/>
  <c r="C237" i="41"/>
  <c r="D237" i="41" s="1"/>
  <c r="C334" i="40"/>
  <c r="D334" i="40" s="1"/>
  <c r="D319" i="40"/>
  <c r="D314" i="40"/>
  <c r="D311" i="40"/>
  <c r="D308" i="40"/>
  <c r="D305" i="40"/>
  <c r="D303" i="40"/>
  <c r="D301" i="40"/>
  <c r="D299" i="40"/>
  <c r="D297" i="40"/>
  <c r="D295" i="40"/>
  <c r="D294" i="40"/>
  <c r="D329" i="40"/>
  <c r="D327" i="40"/>
  <c r="D292" i="40"/>
  <c r="D290" i="40"/>
  <c r="D287" i="40"/>
  <c r="D284" i="40"/>
  <c r="D281" i="40"/>
  <c r="D278" i="40"/>
  <c r="D320" i="40"/>
  <c r="D313" i="40"/>
  <c r="D310" i="40"/>
  <c r="D307" i="40"/>
  <c r="D276" i="40"/>
  <c r="D274" i="40"/>
  <c r="D304" i="40"/>
  <c r="D302" i="40"/>
  <c r="D300" i="40"/>
  <c r="D298" i="40"/>
  <c r="D296" i="40"/>
  <c r="D289" i="40"/>
  <c r="D286" i="40"/>
  <c r="D283" i="40"/>
  <c r="D280" i="40"/>
  <c r="D328" i="40"/>
  <c r="D312" i="40"/>
  <c r="D309" i="40"/>
  <c r="D306" i="40"/>
  <c r="D293" i="40"/>
  <c r="D291" i="40"/>
  <c r="D321" i="40"/>
  <c r="D288" i="40"/>
  <c r="D285" i="40"/>
  <c r="D282" i="40"/>
  <c r="D279" i="40"/>
  <c r="D275" i="40"/>
  <c r="D322" i="40"/>
  <c r="D318" i="40"/>
  <c r="D277" i="40"/>
  <c r="D317" i="40"/>
  <c r="D323" i="40"/>
  <c r="D324" i="40"/>
  <c r="D326" i="40"/>
  <c r="D273" i="40"/>
  <c r="D325" i="40"/>
  <c r="D316" i="40"/>
  <c r="D315" i="40"/>
  <c r="D333" i="40"/>
  <c r="D86" i="40"/>
  <c r="C237" i="40"/>
  <c r="D237" i="40" s="1"/>
  <c r="C334" i="39"/>
  <c r="D334" i="39" s="1"/>
  <c r="D314" i="39"/>
  <c r="D311" i="39"/>
  <c r="D308" i="39"/>
  <c r="D285" i="39"/>
  <c r="D329" i="39"/>
  <c r="D327" i="39"/>
  <c r="D292" i="39"/>
  <c r="D290" i="39"/>
  <c r="D287" i="39"/>
  <c r="D284" i="39"/>
  <c r="D281" i="39"/>
  <c r="D278" i="39"/>
  <c r="D275" i="39"/>
  <c r="D313" i="39"/>
  <c r="D310" i="39"/>
  <c r="D307" i="39"/>
  <c r="D276" i="39"/>
  <c r="D274" i="39"/>
  <c r="D304" i="39"/>
  <c r="D302" i="39"/>
  <c r="D300" i="39"/>
  <c r="D298" i="39"/>
  <c r="D296" i="39"/>
  <c r="D289" i="39"/>
  <c r="D286" i="39"/>
  <c r="D283" i="39"/>
  <c r="D280" i="39"/>
  <c r="D321" i="39"/>
  <c r="D279" i="39"/>
  <c r="D328" i="39"/>
  <c r="D312" i="39"/>
  <c r="D309" i="39"/>
  <c r="D306" i="39"/>
  <c r="D293" i="39"/>
  <c r="D291" i="39"/>
  <c r="D288" i="39"/>
  <c r="D282" i="39"/>
  <c r="D277" i="39"/>
  <c r="D326" i="39"/>
  <c r="D305" i="39"/>
  <c r="D324" i="39"/>
  <c r="D295" i="39"/>
  <c r="D318" i="39"/>
  <c r="D325" i="39"/>
  <c r="D301" i="39"/>
  <c r="D294" i="39"/>
  <c r="D320" i="39"/>
  <c r="D317" i="39"/>
  <c r="D322" i="39"/>
  <c r="D273" i="39"/>
  <c r="D297" i="39"/>
  <c r="D319" i="39"/>
  <c r="D303" i="39"/>
  <c r="D323" i="39"/>
  <c r="D299" i="39"/>
  <c r="D316" i="39"/>
  <c r="D315" i="39"/>
  <c r="D333" i="39"/>
  <c r="D86" i="39"/>
  <c r="C237" i="39"/>
  <c r="D237" i="39" s="1"/>
  <c r="H338" i="32"/>
  <c r="H339" i="32"/>
  <c r="H340" i="32"/>
  <c r="H341" i="32"/>
  <c r="H342" i="32"/>
  <c r="H343" i="32"/>
  <c r="H344" i="32"/>
  <c r="H345" i="32"/>
  <c r="H346" i="32"/>
  <c r="D28" i="41" l="1"/>
  <c r="D238" i="41"/>
  <c r="D28" i="40"/>
  <c r="D28" i="39"/>
  <c r="H236" i="35"/>
  <c r="B337" i="1" l="1"/>
  <c r="B337" i="30" s="1"/>
  <c r="C27" i="31" l="1"/>
  <c r="E27" i="33" s="1"/>
  <c r="C27" i="30"/>
  <c r="C27" i="1"/>
  <c r="N17" i="47"/>
  <c r="D214" i="31" l="1"/>
  <c r="D209" i="31"/>
  <c r="D207" i="31"/>
  <c r="D205" i="31"/>
  <c r="D203" i="31"/>
  <c r="D201" i="31"/>
  <c r="D200" i="31"/>
  <c r="D198" i="31"/>
  <c r="D196" i="31"/>
  <c r="D193" i="31"/>
  <c r="D190" i="31"/>
  <c r="D187" i="31"/>
  <c r="D165" i="31"/>
  <c r="D143" i="31"/>
  <c r="D141" i="31"/>
  <c r="D124" i="31"/>
  <c r="D122" i="31"/>
  <c r="D120" i="31"/>
  <c r="D118" i="31"/>
  <c r="D115" i="31"/>
  <c r="D112" i="31"/>
  <c r="D109" i="31"/>
  <c r="D107" i="31"/>
  <c r="D105" i="31"/>
  <c r="D103" i="31"/>
  <c r="D101" i="31"/>
  <c r="D98" i="31"/>
  <c r="D71" i="31"/>
  <c r="D222" i="31"/>
  <c r="D216" i="31"/>
  <c r="D170" i="31"/>
  <c r="D162" i="31"/>
  <c r="D152" i="31"/>
  <c r="D127" i="31"/>
  <c r="D96" i="31"/>
  <c r="D79" i="31"/>
  <c r="D67" i="31"/>
  <c r="D235" i="31"/>
  <c r="D229" i="31"/>
  <c r="D129" i="31"/>
  <c r="D126" i="31"/>
  <c r="C86" i="31"/>
  <c r="E86" i="33" s="1"/>
  <c r="D80" i="31"/>
  <c r="D68" i="31"/>
  <c r="D58" i="31"/>
  <c r="D232" i="31"/>
  <c r="D226" i="31"/>
  <c r="D220" i="31"/>
  <c r="D180" i="31"/>
  <c r="D174" i="31"/>
  <c r="D168" i="31"/>
  <c r="D158" i="31"/>
  <c r="D150" i="31"/>
  <c r="D92" i="31"/>
  <c r="D53" i="31"/>
  <c r="D225" i="31"/>
  <c r="D223" i="31"/>
  <c r="D221" i="31"/>
  <c r="D219" i="31"/>
  <c r="D217" i="31"/>
  <c r="D215" i="31"/>
  <c r="D213" i="31"/>
  <c r="D211" i="31"/>
  <c r="D195" i="31"/>
  <c r="D192" i="31"/>
  <c r="D189" i="31"/>
  <c r="D186" i="31"/>
  <c r="D181" i="31"/>
  <c r="D179" i="31"/>
  <c r="D177" i="31"/>
  <c r="D175" i="31"/>
  <c r="D173" i="31"/>
  <c r="D171" i="31"/>
  <c r="D169" i="31"/>
  <c r="D163" i="31"/>
  <c r="D161" i="31"/>
  <c r="D159" i="31"/>
  <c r="D157" i="31"/>
  <c r="D155" i="31"/>
  <c r="D153" i="31"/>
  <c r="D151" i="31"/>
  <c r="D149" i="31"/>
  <c r="D147" i="31"/>
  <c r="D140" i="31"/>
  <c r="D117" i="31"/>
  <c r="D114" i="31"/>
  <c r="D111" i="31"/>
  <c r="D97" i="31"/>
  <c r="D95" i="31"/>
  <c r="D93" i="31"/>
  <c r="D91" i="31"/>
  <c r="D89" i="31"/>
  <c r="D83" i="31"/>
  <c r="D56" i="31"/>
  <c r="D54" i="31"/>
  <c r="D178" i="31"/>
  <c r="D167" i="31"/>
  <c r="D154" i="31"/>
  <c r="D208" i="31"/>
  <c r="D206" i="31"/>
  <c r="D204" i="31"/>
  <c r="D202" i="31"/>
  <c r="D199" i="31"/>
  <c r="D197" i="31"/>
  <c r="D166" i="31"/>
  <c r="D144" i="31"/>
  <c r="D142" i="31"/>
  <c r="D128" i="31"/>
  <c r="D125" i="31"/>
  <c r="D123" i="31"/>
  <c r="D121" i="31"/>
  <c r="D108" i="31"/>
  <c r="D106" i="31"/>
  <c r="D104" i="31"/>
  <c r="D102" i="31"/>
  <c r="D78" i="31"/>
  <c r="D76" i="31"/>
  <c r="D74" i="31"/>
  <c r="D66" i="31"/>
  <c r="D64" i="31"/>
  <c r="D224" i="31"/>
  <c r="D218" i="31"/>
  <c r="D176" i="31"/>
  <c r="D172" i="31"/>
  <c r="D160" i="31"/>
  <c r="D156" i="31"/>
  <c r="D148" i="31"/>
  <c r="D130" i="31"/>
  <c r="D234" i="31"/>
  <c r="D230" i="31"/>
  <c r="D210" i="31"/>
  <c r="D99" i="31"/>
  <c r="D59" i="31"/>
  <c r="D146" i="31"/>
  <c r="D94" i="31"/>
  <c r="D90" i="31"/>
  <c r="D84" i="31"/>
  <c r="D82" i="31"/>
  <c r="D55" i="31"/>
  <c r="D75" i="31"/>
  <c r="D182" i="31"/>
  <c r="D212" i="31"/>
  <c r="D61" i="31"/>
  <c r="D139" i="31"/>
  <c r="D60" i="31"/>
  <c r="D62" i="31"/>
  <c r="D233" i="31"/>
  <c r="D164" i="31"/>
  <c r="D113" i="31"/>
  <c r="D63" i="31"/>
  <c r="D188" i="31"/>
  <c r="D231" i="31"/>
  <c r="D81" i="31"/>
  <c r="D69" i="31"/>
  <c r="D65" i="31"/>
  <c r="D228" i="31"/>
  <c r="D119" i="31"/>
  <c r="D132" i="31"/>
  <c r="D194" i="31"/>
  <c r="D100" i="31"/>
  <c r="D77" i="31"/>
  <c r="D88" i="31"/>
  <c r="D72" i="31"/>
  <c r="D184" i="31"/>
  <c r="D137" i="31"/>
  <c r="D183" i="31"/>
  <c r="D131" i="31"/>
  <c r="D116" i="31"/>
  <c r="D185" i="31"/>
  <c r="D57" i="31"/>
  <c r="D227" i="31"/>
  <c r="D138" i="31"/>
  <c r="D73" i="31"/>
  <c r="D133" i="31"/>
  <c r="D191" i="31"/>
  <c r="D134" i="31"/>
  <c r="D110" i="31"/>
  <c r="D145" i="31"/>
  <c r="D52" i="31"/>
  <c r="D136" i="31"/>
  <c r="D135" i="31"/>
  <c r="D70" i="31"/>
  <c r="C332" i="31"/>
  <c r="D85" i="31"/>
  <c r="D330" i="31"/>
  <c r="D236" i="31"/>
  <c r="D214" i="30"/>
  <c r="D143" i="30"/>
  <c r="D141" i="30"/>
  <c r="D124" i="30"/>
  <c r="D98" i="30"/>
  <c r="D71" i="30"/>
  <c r="D235" i="30"/>
  <c r="D233" i="30"/>
  <c r="D229" i="30"/>
  <c r="D138" i="30"/>
  <c r="D136" i="30"/>
  <c r="D134" i="30"/>
  <c r="D132" i="30"/>
  <c r="D129" i="30"/>
  <c r="D126" i="30"/>
  <c r="C86" i="30"/>
  <c r="D80" i="30"/>
  <c r="D68" i="30"/>
  <c r="D58" i="30"/>
  <c r="D213" i="30"/>
  <c r="D211" i="30"/>
  <c r="D181" i="30"/>
  <c r="D179" i="30"/>
  <c r="D140" i="30"/>
  <c r="D83" i="30"/>
  <c r="D230" i="30"/>
  <c r="D216" i="30"/>
  <c r="D210" i="30"/>
  <c r="D178" i="30"/>
  <c r="D154" i="30"/>
  <c r="D125" i="30"/>
  <c r="D92" i="30"/>
  <c r="D53" i="30"/>
  <c r="D81" i="30"/>
  <c r="D150" i="30"/>
  <c r="D226" i="30"/>
  <c r="D176" i="30"/>
  <c r="D218" i="30"/>
  <c r="D183" i="30"/>
  <c r="D180" i="30"/>
  <c r="D168" i="30"/>
  <c r="D156" i="30"/>
  <c r="D135" i="30"/>
  <c r="D128" i="30"/>
  <c r="D106" i="30"/>
  <c r="D94" i="30"/>
  <c r="D69" i="30"/>
  <c r="D57" i="30"/>
  <c r="D55" i="30"/>
  <c r="D234" i="30"/>
  <c r="D232" i="30"/>
  <c r="D220" i="30"/>
  <c r="D170" i="30"/>
  <c r="D158" i="30"/>
  <c r="D96" i="30"/>
  <c r="D79" i="30"/>
  <c r="D67" i="30"/>
  <c r="D59" i="30"/>
  <c r="D99" i="30"/>
  <c r="D82" i="30"/>
  <c r="D224" i="30"/>
  <c r="D162" i="30"/>
  <c r="D142" i="30"/>
  <c r="D84" i="30"/>
  <c r="D123" i="30"/>
  <c r="D102" i="30"/>
  <c r="D222" i="30"/>
  <c r="D212" i="30"/>
  <c r="D172" i="30"/>
  <c r="D160" i="30"/>
  <c r="D148" i="30"/>
  <c r="D127" i="30"/>
  <c r="D174" i="30"/>
  <c r="D166" i="30"/>
  <c r="D130" i="30"/>
  <c r="D90" i="30"/>
  <c r="D76" i="30"/>
  <c r="D64" i="30"/>
  <c r="D228" i="30"/>
  <c r="D152" i="30"/>
  <c r="D144" i="30"/>
  <c r="D199" i="30"/>
  <c r="D217" i="30"/>
  <c r="D201" i="30"/>
  <c r="D65" i="30"/>
  <c r="D207" i="30"/>
  <c r="D110" i="30"/>
  <c r="D191" i="30"/>
  <c r="D208" i="30"/>
  <c r="D115" i="30"/>
  <c r="D93" i="30"/>
  <c r="D72" i="30"/>
  <c r="D63" i="30"/>
  <c r="D198" i="30"/>
  <c r="D62" i="30"/>
  <c r="D149" i="30"/>
  <c r="D223" i="30"/>
  <c r="D97" i="30"/>
  <c r="D159" i="30"/>
  <c r="D204" i="30"/>
  <c r="D116" i="30"/>
  <c r="D66" i="30"/>
  <c r="D108" i="30"/>
  <c r="D155" i="30"/>
  <c r="D153" i="30"/>
  <c r="D105" i="30"/>
  <c r="D77" i="30"/>
  <c r="D151" i="30"/>
  <c r="D203" i="30"/>
  <c r="D61" i="30"/>
  <c r="D161" i="30"/>
  <c r="D107" i="30"/>
  <c r="D133" i="30"/>
  <c r="D121" i="30"/>
  <c r="D113" i="30"/>
  <c r="D169" i="30"/>
  <c r="D60" i="30"/>
  <c r="D197" i="30"/>
  <c r="D177" i="30"/>
  <c r="D193" i="30"/>
  <c r="D91" i="30"/>
  <c r="D89" i="30"/>
  <c r="D163" i="30"/>
  <c r="D206" i="30"/>
  <c r="D73" i="30"/>
  <c r="D165" i="30"/>
  <c r="D184" i="30"/>
  <c r="D109" i="30"/>
  <c r="D187" i="30"/>
  <c r="D221" i="30"/>
  <c r="D139" i="30"/>
  <c r="D137" i="30"/>
  <c r="D119" i="30"/>
  <c r="D219" i="30"/>
  <c r="D192" i="30"/>
  <c r="D189" i="30"/>
  <c r="D56" i="30"/>
  <c r="D205" i="30"/>
  <c r="D103" i="30"/>
  <c r="D101" i="30"/>
  <c r="D175" i="30"/>
  <c r="D209" i="30"/>
  <c r="D173" i="30"/>
  <c r="D118" i="30"/>
  <c r="D196" i="30"/>
  <c r="D74" i="30"/>
  <c r="D78" i="30"/>
  <c r="D188" i="30"/>
  <c r="D202" i="30"/>
  <c r="D231" i="30"/>
  <c r="D157" i="30"/>
  <c r="D111" i="30"/>
  <c r="D112" i="30"/>
  <c r="D225" i="30"/>
  <c r="D95" i="30"/>
  <c r="D117" i="30"/>
  <c r="D186" i="30"/>
  <c r="D185" i="30"/>
  <c r="D104" i="30"/>
  <c r="D194" i="30"/>
  <c r="D164" i="30"/>
  <c r="D54" i="30"/>
  <c r="D122" i="30"/>
  <c r="D190" i="30"/>
  <c r="D227" i="30"/>
  <c r="D114" i="30"/>
  <c r="D120" i="30"/>
  <c r="D195" i="30"/>
  <c r="D147" i="30"/>
  <c r="D75" i="30"/>
  <c r="D171" i="30"/>
  <c r="D215" i="30"/>
  <c r="D100" i="30"/>
  <c r="D182" i="30"/>
  <c r="D52" i="30"/>
  <c r="D167" i="30"/>
  <c r="D70" i="30"/>
  <c r="D131" i="30"/>
  <c r="D88" i="30"/>
  <c r="D330" i="30"/>
  <c r="D200" i="30"/>
  <c r="D85" i="30"/>
  <c r="C332" i="30"/>
  <c r="D31" i="30" s="1"/>
  <c r="D214" i="1"/>
  <c r="D209" i="1"/>
  <c r="D207" i="1"/>
  <c r="D205" i="1"/>
  <c r="D203" i="1"/>
  <c r="D201" i="1"/>
  <c r="D200" i="1"/>
  <c r="D198" i="1"/>
  <c r="D196" i="1"/>
  <c r="D193" i="1"/>
  <c r="D190" i="1"/>
  <c r="D187" i="1"/>
  <c r="D165" i="1"/>
  <c r="D143" i="1"/>
  <c r="D141" i="1"/>
  <c r="D124" i="1"/>
  <c r="D122" i="1"/>
  <c r="D120" i="1"/>
  <c r="D118" i="1"/>
  <c r="D115" i="1"/>
  <c r="D112" i="1"/>
  <c r="D109" i="1"/>
  <c r="D107" i="1"/>
  <c r="D105" i="1"/>
  <c r="D103" i="1"/>
  <c r="D98" i="1"/>
  <c r="D77" i="1"/>
  <c r="D75" i="1"/>
  <c r="D73" i="1"/>
  <c r="D71" i="1"/>
  <c r="D65" i="1"/>
  <c r="D63" i="1"/>
  <c r="D61" i="1"/>
  <c r="D235" i="1"/>
  <c r="D229" i="1"/>
  <c r="D138" i="1"/>
  <c r="D136" i="1"/>
  <c r="D134" i="1"/>
  <c r="D132" i="1"/>
  <c r="D129" i="1"/>
  <c r="D126" i="1"/>
  <c r="C86" i="1"/>
  <c r="D80" i="1"/>
  <c r="D68" i="1"/>
  <c r="D58" i="1"/>
  <c r="D125" i="1"/>
  <c r="D108" i="1"/>
  <c r="D104" i="1"/>
  <c r="D81" i="1"/>
  <c r="D76" i="1"/>
  <c r="D72" i="1"/>
  <c r="D69" i="1"/>
  <c r="D62" i="1"/>
  <c r="D232" i="1"/>
  <c r="D222" i="1"/>
  <c r="D216" i="1"/>
  <c r="D213" i="1"/>
  <c r="D211" i="1"/>
  <c r="D195" i="1"/>
  <c r="D192" i="1"/>
  <c r="D181" i="1"/>
  <c r="D179" i="1"/>
  <c r="D140" i="1"/>
  <c r="D83" i="1"/>
  <c r="D166" i="1"/>
  <c r="D144" i="1"/>
  <c r="D142" i="1"/>
  <c r="D128" i="1"/>
  <c r="D123" i="1"/>
  <c r="D121" i="1"/>
  <c r="D106" i="1"/>
  <c r="D102" i="1"/>
  <c r="D78" i="1"/>
  <c r="D74" i="1"/>
  <c r="D66" i="1"/>
  <c r="D64" i="1"/>
  <c r="D226" i="1"/>
  <c r="D224" i="1"/>
  <c r="D220" i="1"/>
  <c r="D208" i="1"/>
  <c r="D206" i="1"/>
  <c r="D204" i="1"/>
  <c r="D202" i="1"/>
  <c r="D199" i="1"/>
  <c r="D197" i="1"/>
  <c r="D234" i="1"/>
  <c r="D230" i="1"/>
  <c r="D210" i="1"/>
  <c r="D99" i="1"/>
  <c r="D59" i="1"/>
  <c r="D176" i="1"/>
  <c r="D156" i="1"/>
  <c r="D96" i="1"/>
  <c r="D70" i="1"/>
  <c r="D178" i="1"/>
  <c r="D158" i="1"/>
  <c r="D146" i="1"/>
  <c r="D127" i="1"/>
  <c r="D180" i="1"/>
  <c r="D168" i="1"/>
  <c r="D160" i="1"/>
  <c r="D148" i="1"/>
  <c r="D79" i="1"/>
  <c r="D53" i="1"/>
  <c r="D218" i="1"/>
  <c r="D170" i="1"/>
  <c r="D162" i="1"/>
  <c r="D150" i="1"/>
  <c r="D130" i="1"/>
  <c r="D90" i="1"/>
  <c r="D172" i="1"/>
  <c r="D152" i="1"/>
  <c r="D92" i="1"/>
  <c r="D82" i="1"/>
  <c r="D67" i="1"/>
  <c r="D174" i="1"/>
  <c r="D154" i="1"/>
  <c r="D94" i="1"/>
  <c r="D84" i="1"/>
  <c r="D60" i="1"/>
  <c r="D212" i="1"/>
  <c r="D159" i="1"/>
  <c r="D56" i="1"/>
  <c r="D157" i="1"/>
  <c r="D155" i="1"/>
  <c r="D233" i="1"/>
  <c r="D110" i="1"/>
  <c r="D184" i="1"/>
  <c r="D57" i="1"/>
  <c r="D171" i="1"/>
  <c r="D133" i="1"/>
  <c r="D185" i="1"/>
  <c r="D113" i="1"/>
  <c r="D97" i="1"/>
  <c r="D54" i="1"/>
  <c r="D188" i="1"/>
  <c r="D135" i="1"/>
  <c r="D231" i="1"/>
  <c r="D186" i="1"/>
  <c r="D88" i="1"/>
  <c r="D175" i="1"/>
  <c r="D116" i="1"/>
  <c r="D189" i="1"/>
  <c r="D91" i="1"/>
  <c r="D219" i="1"/>
  <c r="D139" i="1"/>
  <c r="D191" i="1"/>
  <c r="D228" i="1"/>
  <c r="D177" i="1"/>
  <c r="D117" i="1"/>
  <c r="D55" i="1"/>
  <c r="D223" i="1"/>
  <c r="D164" i="1"/>
  <c r="D182" i="1"/>
  <c r="D227" i="1"/>
  <c r="D111" i="1"/>
  <c r="D225" i="1"/>
  <c r="D149" i="1"/>
  <c r="D217" i="1"/>
  <c r="D161" i="1"/>
  <c r="D119" i="1"/>
  <c r="D114" i="1"/>
  <c r="D183" i="1"/>
  <c r="D194" i="1"/>
  <c r="D93" i="1"/>
  <c r="D153" i="1"/>
  <c r="D151" i="1"/>
  <c r="D147" i="1"/>
  <c r="D137" i="1"/>
  <c r="D215" i="1"/>
  <c r="D95" i="1"/>
  <c r="D221" i="1"/>
  <c r="D173" i="1"/>
  <c r="D163" i="1"/>
  <c r="D89" i="1"/>
  <c r="D169" i="1"/>
  <c r="D330" i="1"/>
  <c r="C332" i="1"/>
  <c r="D31" i="1" s="1"/>
  <c r="D131" i="1"/>
  <c r="D167" i="1"/>
  <c r="D145" i="1"/>
  <c r="D52" i="1"/>
  <c r="D85" i="1"/>
  <c r="D261" i="48"/>
  <c r="D265" i="48"/>
  <c r="D266" i="48"/>
  <c r="D251" i="48"/>
  <c r="D255" i="48"/>
  <c r="D239" i="48"/>
  <c r="D51" i="48"/>
  <c r="D36" i="48"/>
  <c r="D32" i="48"/>
  <c r="D31" i="48"/>
  <c r="D37" i="48"/>
  <c r="D38" i="48"/>
  <c r="D39" i="48"/>
  <c r="D40" i="48"/>
  <c r="D41" i="48"/>
  <c r="D42" i="48"/>
  <c r="D43" i="48"/>
  <c r="D44" i="48"/>
  <c r="D45" i="48"/>
  <c r="D46" i="48"/>
  <c r="D47" i="48"/>
  <c r="D49" i="48"/>
  <c r="D50" i="48"/>
  <c r="D240" i="48"/>
  <c r="D241" i="48"/>
  <c r="D242" i="48"/>
  <c r="D243" i="48"/>
  <c r="D244" i="48"/>
  <c r="D245" i="48"/>
  <c r="D246" i="48"/>
  <c r="D247" i="48"/>
  <c r="D249" i="48"/>
  <c r="D250" i="48"/>
  <c r="D253" i="48"/>
  <c r="D254" i="48"/>
  <c r="D256" i="48"/>
  <c r="D257" i="48"/>
  <c r="D258" i="48"/>
  <c r="D259" i="48"/>
  <c r="D260" i="48"/>
  <c r="D262" i="48"/>
  <c r="D263" i="48"/>
  <c r="D264" i="48"/>
  <c r="D267" i="48"/>
  <c r="D268" i="48"/>
  <c r="D269" i="48"/>
  <c r="D270" i="48"/>
  <c r="D271" i="48"/>
  <c r="M404" i="47"/>
  <c r="R213" i="47"/>
  <c r="R214" i="47"/>
  <c r="R216" i="47"/>
  <c r="R229" i="47"/>
  <c r="R230" i="47"/>
  <c r="D269" i="31" l="1"/>
  <c r="E332" i="33"/>
  <c r="D240" i="31"/>
  <c r="D239" i="31"/>
  <c r="D346" i="48"/>
  <c r="D350" i="48"/>
  <c r="D354" i="48"/>
  <c r="D358" i="48"/>
  <c r="D348" i="48"/>
  <c r="D356" i="48"/>
  <c r="D349" i="48"/>
  <c r="D357" i="48"/>
  <c r="D347" i="48"/>
  <c r="D351" i="48"/>
  <c r="D355" i="48"/>
  <c r="D359" i="48"/>
  <c r="D352" i="48"/>
  <c r="D360" i="48"/>
  <c r="D345" i="48"/>
  <c r="D353" i="48"/>
  <c r="F263" i="45"/>
  <c r="F263" i="40"/>
  <c r="F263" i="39"/>
  <c r="F263" i="38"/>
  <c r="F263" i="31"/>
  <c r="F263" i="32"/>
  <c r="F263" i="44"/>
  <c r="F263" i="41"/>
  <c r="F263" i="36"/>
  <c r="F263" i="30"/>
  <c r="F263" i="1"/>
  <c r="F261" i="45"/>
  <c r="F261" i="44"/>
  <c r="F261" i="41"/>
  <c r="F261" i="40"/>
  <c r="F261" i="39"/>
  <c r="F261" i="38"/>
  <c r="F261" i="31"/>
  <c r="F261" i="36"/>
  <c r="F261" i="32"/>
  <c r="F261" i="30"/>
  <c r="F261" i="1"/>
  <c r="F253" i="45"/>
  <c r="F253" i="41"/>
  <c r="F253" i="44"/>
  <c r="F253" i="40"/>
  <c r="F253" i="39"/>
  <c r="F253" i="38"/>
  <c r="F253" i="31"/>
  <c r="F253" i="36"/>
  <c r="F253" i="30"/>
  <c r="F253" i="32"/>
  <c r="F253" i="1"/>
  <c r="F254" i="45"/>
  <c r="F254" i="41"/>
  <c r="F254" i="44"/>
  <c r="F254" i="39"/>
  <c r="F254" i="38"/>
  <c r="F254" i="40"/>
  <c r="F254" i="31"/>
  <c r="F254" i="36"/>
  <c r="F254" i="30"/>
  <c r="F254" i="32"/>
  <c r="F254" i="1"/>
  <c r="F251" i="45"/>
  <c r="F251" i="41"/>
  <c r="F251" i="44"/>
  <c r="F251" i="40"/>
  <c r="F251" i="39"/>
  <c r="F251" i="38"/>
  <c r="F251" i="31"/>
  <c r="F251" i="36"/>
  <c r="F251" i="30"/>
  <c r="F251" i="32"/>
  <c r="F251" i="1"/>
  <c r="F262" i="45"/>
  <c r="F262" i="41"/>
  <c r="F262" i="44"/>
  <c r="F262" i="40"/>
  <c r="F262" i="38"/>
  <c r="F262" i="39"/>
  <c r="F262" i="36"/>
  <c r="F262" i="31"/>
  <c r="F262" i="32"/>
  <c r="F262" i="30"/>
  <c r="F262" i="1"/>
  <c r="F250" i="45"/>
  <c r="F250" i="41"/>
  <c r="F250" i="44"/>
  <c r="F250" i="40"/>
  <c r="F250" i="39"/>
  <c r="F250" i="38"/>
  <c r="F250" i="31"/>
  <c r="F250" i="36"/>
  <c r="F250" i="30"/>
  <c r="F250" i="32"/>
  <c r="F250" i="1"/>
  <c r="F32" i="45"/>
  <c r="F32" i="41"/>
  <c r="F32" i="44"/>
  <c r="F32" i="39"/>
  <c r="F32" i="40"/>
  <c r="F32" i="38"/>
  <c r="F32" i="36"/>
  <c r="F32" i="32"/>
  <c r="F32" i="31"/>
  <c r="F32" i="1"/>
  <c r="F32" i="30"/>
  <c r="F249" i="44"/>
  <c r="F249" i="41"/>
  <c r="F249" i="45"/>
  <c r="F249" i="40"/>
  <c r="F249" i="39"/>
  <c r="F249" i="38"/>
  <c r="F249" i="36"/>
  <c r="F249" i="31"/>
  <c r="F249" i="30"/>
  <c r="F249" i="32"/>
  <c r="F249" i="1"/>
  <c r="F240" i="45"/>
  <c r="F240" i="44"/>
  <c r="F240" i="40"/>
  <c r="F240" i="41"/>
  <c r="F240" i="38"/>
  <c r="F240" i="39"/>
  <c r="F240" i="31"/>
  <c r="F240" i="30"/>
  <c r="F240" i="36"/>
  <c r="F240" i="32"/>
  <c r="F240" i="1"/>
  <c r="F31" i="44"/>
  <c r="F31" i="45"/>
  <c r="F31" i="41"/>
  <c r="F31" i="39"/>
  <c r="F31" i="40"/>
  <c r="F31" i="38"/>
  <c r="F31" i="32"/>
  <c r="F31" i="31"/>
  <c r="F31" i="30"/>
  <c r="F31" i="36"/>
  <c r="F31" i="1"/>
  <c r="F256" i="45"/>
  <c r="F256" i="41"/>
  <c r="F256" i="44"/>
  <c r="F256" i="40"/>
  <c r="F256" i="39"/>
  <c r="F256" i="38"/>
  <c r="F256" i="31"/>
  <c r="F256" i="36"/>
  <c r="F256" i="32"/>
  <c r="F256" i="30"/>
  <c r="F256" i="1"/>
  <c r="F255" i="44"/>
  <c r="F255" i="45"/>
  <c r="F255" i="40"/>
  <c r="F255" i="41"/>
  <c r="F255" i="38"/>
  <c r="F255" i="39"/>
  <c r="F255" i="32"/>
  <c r="F255" i="30"/>
  <c r="F255" i="36"/>
  <c r="F255" i="31"/>
  <c r="F255" i="1"/>
  <c r="F36" i="45"/>
  <c r="F36" i="44"/>
  <c r="F36" i="41"/>
  <c r="F36" i="40"/>
  <c r="F36" i="36"/>
  <c r="F36" i="39"/>
  <c r="F36" i="32"/>
  <c r="F36" i="38"/>
  <c r="F36" i="31"/>
  <c r="F36" i="30"/>
  <c r="F36" i="1"/>
  <c r="D34" i="1"/>
  <c r="D32" i="1"/>
  <c r="D268" i="31"/>
  <c r="D261" i="31"/>
  <c r="D34" i="31"/>
  <c r="D254" i="31"/>
  <c r="D248" i="31"/>
  <c r="D253" i="30"/>
  <c r="D268" i="30"/>
  <c r="D269" i="30"/>
  <c r="D261" i="30"/>
  <c r="D30" i="30"/>
  <c r="D254" i="30"/>
  <c r="D248" i="30"/>
  <c r="D33" i="31"/>
  <c r="D35" i="31"/>
  <c r="D30" i="31"/>
  <c r="D29" i="31"/>
  <c r="D34" i="30"/>
  <c r="D35" i="30"/>
  <c r="D33" i="30"/>
  <c r="D29" i="30"/>
  <c r="D30" i="1"/>
  <c r="D33" i="1"/>
  <c r="D35" i="1"/>
  <c r="D29" i="1"/>
  <c r="D254" i="1"/>
  <c r="D268" i="1"/>
  <c r="D261" i="1"/>
  <c r="D253" i="1"/>
  <c r="D248" i="1"/>
  <c r="D86" i="31"/>
  <c r="C237" i="31"/>
  <c r="C334" i="31"/>
  <c r="D319" i="31"/>
  <c r="D314" i="31"/>
  <c r="D311" i="31"/>
  <c r="D308" i="31"/>
  <c r="D305" i="31"/>
  <c r="D303" i="31"/>
  <c r="D301" i="31"/>
  <c r="D299" i="31"/>
  <c r="D297" i="31"/>
  <c r="D295" i="31"/>
  <c r="D294" i="31"/>
  <c r="D282" i="31"/>
  <c r="D329" i="31"/>
  <c r="D327" i="31"/>
  <c r="D292" i="31"/>
  <c r="D290" i="31"/>
  <c r="D287" i="31"/>
  <c r="D284" i="31"/>
  <c r="D281" i="31"/>
  <c r="D278" i="31"/>
  <c r="D321" i="31"/>
  <c r="D288" i="31"/>
  <c r="D279" i="31"/>
  <c r="D275" i="31"/>
  <c r="D320" i="31"/>
  <c r="D313" i="31"/>
  <c r="D310" i="31"/>
  <c r="D307" i="31"/>
  <c r="D276" i="31"/>
  <c r="D274" i="31"/>
  <c r="D304" i="31"/>
  <c r="D302" i="31"/>
  <c r="D300" i="31"/>
  <c r="D298" i="31"/>
  <c r="D296" i="31"/>
  <c r="D289" i="31"/>
  <c r="D286" i="31"/>
  <c r="D283" i="31"/>
  <c r="D280" i="31"/>
  <c r="D285" i="31"/>
  <c r="D328" i="31"/>
  <c r="D312" i="31"/>
  <c r="D309" i="31"/>
  <c r="D306" i="31"/>
  <c r="D293" i="31"/>
  <c r="D291" i="31"/>
  <c r="D323" i="31"/>
  <c r="D277" i="31"/>
  <c r="D326" i="31"/>
  <c r="D325" i="31"/>
  <c r="D322" i="31"/>
  <c r="D318" i="31"/>
  <c r="D273" i="31"/>
  <c r="D324" i="31"/>
  <c r="D317" i="31"/>
  <c r="D316" i="31"/>
  <c r="D315" i="31"/>
  <c r="D333" i="31"/>
  <c r="D86" i="30"/>
  <c r="D319" i="30"/>
  <c r="D314" i="30"/>
  <c r="D311" i="30"/>
  <c r="D308" i="30"/>
  <c r="D305" i="30"/>
  <c r="D303" i="30"/>
  <c r="D301" i="30"/>
  <c r="D299" i="30"/>
  <c r="D297" i="30"/>
  <c r="D295" i="30"/>
  <c r="D289" i="30"/>
  <c r="D280" i="30"/>
  <c r="D329" i="30"/>
  <c r="D327" i="30"/>
  <c r="D325" i="30"/>
  <c r="D323" i="30"/>
  <c r="D317" i="30"/>
  <c r="D292" i="30"/>
  <c r="D290" i="30"/>
  <c r="D287" i="30"/>
  <c r="D284" i="30"/>
  <c r="D281" i="30"/>
  <c r="D278" i="30"/>
  <c r="D286" i="30"/>
  <c r="D313" i="30"/>
  <c r="D310" i="30"/>
  <c r="D307" i="30"/>
  <c r="D283" i="30"/>
  <c r="D285" i="30"/>
  <c r="D275" i="30"/>
  <c r="D326" i="30"/>
  <c r="D318" i="30"/>
  <c r="D309" i="30"/>
  <c r="D328" i="30"/>
  <c r="D288" i="30"/>
  <c r="D279" i="30"/>
  <c r="D282" i="30"/>
  <c r="D312" i="30"/>
  <c r="D291" i="30"/>
  <c r="D306" i="30"/>
  <c r="D321" i="30"/>
  <c r="D293" i="30"/>
  <c r="D273" i="30"/>
  <c r="D274" i="30"/>
  <c r="D322" i="30"/>
  <c r="D276" i="30"/>
  <c r="D298" i="30"/>
  <c r="D304" i="30"/>
  <c r="D296" i="30"/>
  <c r="D315" i="30"/>
  <c r="D277" i="30"/>
  <c r="D316" i="30"/>
  <c r="D300" i="30"/>
  <c r="D302" i="30"/>
  <c r="D324" i="30"/>
  <c r="D320" i="30"/>
  <c r="D294" i="30"/>
  <c r="D319" i="1"/>
  <c r="D314" i="1"/>
  <c r="D311" i="1"/>
  <c r="D308" i="1"/>
  <c r="D305" i="1"/>
  <c r="D303" i="1"/>
  <c r="D301" i="1"/>
  <c r="D299" i="1"/>
  <c r="D297" i="1"/>
  <c r="D295" i="1"/>
  <c r="D294" i="1"/>
  <c r="D329" i="1"/>
  <c r="D327" i="1"/>
  <c r="D292" i="1"/>
  <c r="D290" i="1"/>
  <c r="D287" i="1"/>
  <c r="D284" i="1"/>
  <c r="D281" i="1"/>
  <c r="D278" i="1"/>
  <c r="D313" i="1"/>
  <c r="D310" i="1"/>
  <c r="D307" i="1"/>
  <c r="D288" i="1"/>
  <c r="D304" i="1"/>
  <c r="D302" i="1"/>
  <c r="D300" i="1"/>
  <c r="D298" i="1"/>
  <c r="D296" i="1"/>
  <c r="D289" i="1"/>
  <c r="D286" i="1"/>
  <c r="D283" i="1"/>
  <c r="D280" i="1"/>
  <c r="D328" i="1"/>
  <c r="D312" i="1"/>
  <c r="D309" i="1"/>
  <c r="D306" i="1"/>
  <c r="D293" i="1"/>
  <c r="D291" i="1"/>
  <c r="D321" i="1"/>
  <c r="D285" i="1"/>
  <c r="D282" i="1"/>
  <c r="D279" i="1"/>
  <c r="D275" i="1"/>
  <c r="D274" i="1"/>
  <c r="D326" i="1"/>
  <c r="D320" i="1"/>
  <c r="D316" i="1"/>
  <c r="D322" i="1"/>
  <c r="D277" i="1"/>
  <c r="D324" i="1"/>
  <c r="D318" i="1"/>
  <c r="D276" i="1"/>
  <c r="D317" i="1"/>
  <c r="D325" i="1"/>
  <c r="D323" i="1"/>
  <c r="D273" i="1"/>
  <c r="D315" i="1"/>
  <c r="D86" i="1"/>
  <c r="D340" i="48"/>
  <c r="N336" i="47"/>
  <c r="D341" i="48"/>
  <c r="D343" i="48"/>
  <c r="D339" i="48"/>
  <c r="D337" i="48"/>
  <c r="D344" i="48"/>
  <c r="D338" i="48"/>
  <c r="D342" i="48"/>
  <c r="D48" i="48"/>
  <c r="J110" i="47"/>
  <c r="D334" i="31" l="1"/>
  <c r="E334" i="33"/>
  <c r="D237" i="31"/>
  <c r="E237" i="33"/>
  <c r="D238" i="31"/>
  <c r="D238" i="30"/>
  <c r="D28" i="31"/>
  <c r="D28" i="30"/>
  <c r="D28" i="1"/>
  <c r="D238" i="1"/>
  <c r="D336" i="48"/>
  <c r="I337" i="48"/>
  <c r="R272" i="33" l="1"/>
  <c r="R213" i="33"/>
  <c r="R214" i="33"/>
  <c r="L53" i="10" l="1"/>
  <c r="O39" i="10"/>
  <c r="L39" i="10" l="1"/>
  <c r="O40" i="10" l="1"/>
  <c r="L40" i="10" s="1"/>
  <c r="O41" i="10" l="1"/>
  <c r="L41" i="10" s="1"/>
  <c r="H337" i="32"/>
  <c r="O42" i="10" l="1"/>
  <c r="L42" i="10" s="1"/>
  <c r="P200" i="42"/>
  <c r="P212" i="42"/>
  <c r="P231" i="42"/>
  <c r="B351" i="36"/>
  <c r="S339" i="47"/>
  <c r="N29" i="46"/>
  <c r="N30" i="46"/>
  <c r="N31" i="46"/>
  <c r="N32" i="46"/>
  <c r="N33" i="46"/>
  <c r="N34" i="46"/>
  <c r="N35" i="46"/>
  <c r="N36" i="46"/>
  <c r="N37" i="46"/>
  <c r="N38" i="46"/>
  <c r="N39" i="46"/>
  <c r="N40" i="46"/>
  <c r="N41" i="46"/>
  <c r="N42" i="46"/>
  <c r="N43" i="46"/>
  <c r="N44" i="46"/>
  <c r="N45" i="46"/>
  <c r="N46" i="46"/>
  <c r="N47" i="46"/>
  <c r="N49" i="46"/>
  <c r="N50" i="46"/>
  <c r="N51" i="46"/>
  <c r="N53" i="46"/>
  <c r="N54" i="46"/>
  <c r="N55" i="46"/>
  <c r="N56" i="46"/>
  <c r="N57" i="46"/>
  <c r="N58" i="46"/>
  <c r="N59" i="46"/>
  <c r="N60" i="46"/>
  <c r="N61" i="46"/>
  <c r="N62" i="46"/>
  <c r="N63" i="46"/>
  <c r="N64" i="46"/>
  <c r="N65" i="46"/>
  <c r="N66" i="46"/>
  <c r="N67" i="46"/>
  <c r="N68" i="46"/>
  <c r="N69" i="46"/>
  <c r="N71" i="46"/>
  <c r="N72" i="46"/>
  <c r="N73" i="46"/>
  <c r="N74" i="46"/>
  <c r="N75" i="46"/>
  <c r="N76" i="46"/>
  <c r="N77" i="46"/>
  <c r="N78" i="46"/>
  <c r="N79" i="46"/>
  <c r="N80" i="46"/>
  <c r="N81" i="46"/>
  <c r="N82" i="46"/>
  <c r="N83" i="46"/>
  <c r="N84" i="46"/>
  <c r="N87" i="46"/>
  <c r="N89" i="46"/>
  <c r="N90" i="46"/>
  <c r="N91" i="46"/>
  <c r="N92" i="46"/>
  <c r="N93" i="46"/>
  <c r="N94" i="46"/>
  <c r="N95" i="46"/>
  <c r="N96" i="46"/>
  <c r="N97" i="46"/>
  <c r="N98" i="46"/>
  <c r="N99" i="46"/>
  <c r="N101" i="46"/>
  <c r="N102" i="46"/>
  <c r="N103" i="46"/>
  <c r="N104" i="46"/>
  <c r="N105" i="46"/>
  <c r="N106" i="46"/>
  <c r="N107" i="46"/>
  <c r="N108" i="46"/>
  <c r="N109" i="46"/>
  <c r="N110" i="46"/>
  <c r="N111" i="46"/>
  <c r="N112" i="46"/>
  <c r="N113" i="46"/>
  <c r="N114" i="46"/>
  <c r="N115" i="46"/>
  <c r="N116" i="46"/>
  <c r="N117" i="46"/>
  <c r="N118" i="46"/>
  <c r="N119" i="46"/>
  <c r="N120" i="46"/>
  <c r="N121" i="46"/>
  <c r="N122" i="46"/>
  <c r="N123" i="46"/>
  <c r="N124" i="46"/>
  <c r="N125" i="46"/>
  <c r="N126" i="46"/>
  <c r="N127" i="46"/>
  <c r="N128" i="46"/>
  <c r="N129" i="46"/>
  <c r="N130" i="46"/>
  <c r="N132" i="46"/>
  <c r="N133" i="46"/>
  <c r="N134" i="46"/>
  <c r="N135" i="46"/>
  <c r="N136" i="46"/>
  <c r="N137" i="46"/>
  <c r="N138" i="46"/>
  <c r="N139" i="46"/>
  <c r="N140" i="46"/>
  <c r="N141" i="46"/>
  <c r="N142" i="46"/>
  <c r="N143" i="46"/>
  <c r="N144" i="46"/>
  <c r="N146" i="46"/>
  <c r="N147" i="46"/>
  <c r="N148" i="46"/>
  <c r="N149" i="46"/>
  <c r="N150" i="46"/>
  <c r="N151" i="46"/>
  <c r="N152" i="46"/>
  <c r="N153" i="46"/>
  <c r="N154" i="46"/>
  <c r="N155" i="46"/>
  <c r="N156" i="46"/>
  <c r="N157" i="46"/>
  <c r="N158" i="46"/>
  <c r="N159" i="46"/>
  <c r="N160" i="46"/>
  <c r="N161" i="46"/>
  <c r="N162" i="46"/>
  <c r="N163" i="46"/>
  <c r="N164" i="46"/>
  <c r="N165" i="46"/>
  <c r="N166" i="46"/>
  <c r="N168" i="46"/>
  <c r="N169" i="46"/>
  <c r="N170" i="46"/>
  <c r="N171" i="46"/>
  <c r="N172" i="46"/>
  <c r="N173" i="46"/>
  <c r="N174" i="46"/>
  <c r="N175" i="46"/>
  <c r="N176" i="46"/>
  <c r="N177" i="46"/>
  <c r="N178" i="46"/>
  <c r="N179" i="46"/>
  <c r="N180" i="46"/>
  <c r="N181" i="46"/>
  <c r="N183" i="46"/>
  <c r="N184" i="46"/>
  <c r="N185" i="46"/>
  <c r="N186" i="46"/>
  <c r="N187" i="46"/>
  <c r="N188" i="46"/>
  <c r="N189" i="46"/>
  <c r="N190" i="46"/>
  <c r="N191" i="46"/>
  <c r="N192" i="46"/>
  <c r="N193" i="46"/>
  <c r="N194" i="46"/>
  <c r="N195" i="46"/>
  <c r="N196" i="46"/>
  <c r="N197" i="46"/>
  <c r="N198" i="46"/>
  <c r="N199" i="46"/>
  <c r="N201" i="46"/>
  <c r="N202" i="46"/>
  <c r="N203" i="46"/>
  <c r="N204" i="46"/>
  <c r="N205" i="46"/>
  <c r="N206" i="46"/>
  <c r="N207" i="46"/>
  <c r="N208" i="46"/>
  <c r="N209" i="46"/>
  <c r="N210" i="46"/>
  <c r="N211" i="46"/>
  <c r="N213" i="46"/>
  <c r="N214" i="46"/>
  <c r="N215" i="46"/>
  <c r="N216" i="46"/>
  <c r="N217" i="46"/>
  <c r="N218" i="46"/>
  <c r="N219" i="46"/>
  <c r="N220" i="46"/>
  <c r="N221" i="46"/>
  <c r="N222" i="46"/>
  <c r="N223" i="46"/>
  <c r="N224" i="46"/>
  <c r="N225" i="46"/>
  <c r="N226" i="46"/>
  <c r="N227" i="46"/>
  <c r="N228" i="46"/>
  <c r="N229" i="46"/>
  <c r="N230" i="46"/>
  <c r="N232" i="46"/>
  <c r="N233" i="46"/>
  <c r="N234" i="46"/>
  <c r="N235" i="46"/>
  <c r="N240" i="46"/>
  <c r="N241" i="46"/>
  <c r="N242" i="46"/>
  <c r="N243" i="46"/>
  <c r="N244" i="46"/>
  <c r="N245" i="46"/>
  <c r="N246" i="46"/>
  <c r="N247" i="46"/>
  <c r="N249" i="46"/>
  <c r="N250" i="46"/>
  <c r="N251" i="46"/>
  <c r="N252" i="46"/>
  <c r="N253" i="46"/>
  <c r="N254" i="46"/>
  <c r="N255" i="46"/>
  <c r="N256" i="46"/>
  <c r="N257" i="46"/>
  <c r="N258" i="46"/>
  <c r="N259" i="46"/>
  <c r="N260" i="46"/>
  <c r="N262" i="46"/>
  <c r="N263" i="46"/>
  <c r="N264" i="46"/>
  <c r="N265" i="46"/>
  <c r="N266" i="46"/>
  <c r="N267" i="46"/>
  <c r="N268" i="46"/>
  <c r="N269" i="46"/>
  <c r="N270" i="46"/>
  <c r="N271" i="46"/>
  <c r="N272" i="46"/>
  <c r="N274" i="46"/>
  <c r="N275" i="46"/>
  <c r="N276" i="46"/>
  <c r="N277" i="46"/>
  <c r="N278" i="46"/>
  <c r="N279" i="46"/>
  <c r="N280" i="46"/>
  <c r="N281" i="46"/>
  <c r="N282" i="46"/>
  <c r="N283" i="46"/>
  <c r="N284" i="46"/>
  <c r="N285" i="46"/>
  <c r="N286" i="46"/>
  <c r="N287" i="46"/>
  <c r="N288" i="46"/>
  <c r="N289" i="46"/>
  <c r="N290" i="46"/>
  <c r="N291" i="46"/>
  <c r="N292" i="46"/>
  <c r="N293" i="46"/>
  <c r="N295" i="46"/>
  <c r="N296" i="46"/>
  <c r="N297" i="46"/>
  <c r="N298" i="46"/>
  <c r="N299" i="46"/>
  <c r="N300" i="46"/>
  <c r="N301" i="46"/>
  <c r="N302" i="46"/>
  <c r="N303" i="46"/>
  <c r="N304" i="46"/>
  <c r="N305" i="46"/>
  <c r="N306" i="46"/>
  <c r="N307" i="46"/>
  <c r="N308" i="46"/>
  <c r="N309" i="46"/>
  <c r="N310" i="46"/>
  <c r="N311" i="46"/>
  <c r="N312" i="46"/>
  <c r="N313" i="46"/>
  <c r="N314" i="46"/>
  <c r="N316" i="46"/>
  <c r="N317" i="46"/>
  <c r="N318" i="46"/>
  <c r="N319" i="46"/>
  <c r="N320" i="46"/>
  <c r="N321" i="46"/>
  <c r="N323" i="46"/>
  <c r="N324" i="46"/>
  <c r="N325" i="46"/>
  <c r="N326" i="46"/>
  <c r="N327" i="46"/>
  <c r="N328" i="46"/>
  <c r="N329" i="46"/>
  <c r="N337" i="46"/>
  <c r="N338" i="46"/>
  <c r="N339" i="46"/>
  <c r="N341" i="46"/>
  <c r="N342" i="46"/>
  <c r="N343" i="46"/>
  <c r="N345" i="46"/>
  <c r="N346" i="46"/>
  <c r="N347" i="46"/>
  <c r="N348" i="46"/>
  <c r="N349" i="46"/>
  <c r="N350" i="46"/>
  <c r="N351" i="46"/>
  <c r="O43" i="10" l="1"/>
  <c r="J190" i="47"/>
  <c r="N115" i="47"/>
  <c r="N29" i="47"/>
  <c r="N30" i="47"/>
  <c r="N31" i="47"/>
  <c r="N32" i="47"/>
  <c r="N33" i="47"/>
  <c r="N34" i="47"/>
  <c r="N35" i="47"/>
  <c r="N36" i="47"/>
  <c r="N37" i="47"/>
  <c r="N38" i="47"/>
  <c r="N39" i="47"/>
  <c r="N40" i="47"/>
  <c r="N41" i="47"/>
  <c r="N42" i="47"/>
  <c r="N43" i="47"/>
  <c r="N44" i="47"/>
  <c r="N45" i="47"/>
  <c r="N46" i="47"/>
  <c r="N47" i="47"/>
  <c r="N49" i="47"/>
  <c r="N50" i="47"/>
  <c r="N51" i="47"/>
  <c r="N53" i="47"/>
  <c r="N54" i="47"/>
  <c r="N55" i="47"/>
  <c r="N56" i="47"/>
  <c r="N57" i="47"/>
  <c r="N58" i="47"/>
  <c r="N59" i="47"/>
  <c r="N60" i="47"/>
  <c r="N61" i="47"/>
  <c r="N62" i="47"/>
  <c r="N63" i="47"/>
  <c r="N64" i="47"/>
  <c r="N65" i="47"/>
  <c r="N66" i="47"/>
  <c r="N67" i="47"/>
  <c r="N68" i="47"/>
  <c r="N69" i="47"/>
  <c r="N71" i="47"/>
  <c r="N72" i="47"/>
  <c r="N73" i="47"/>
  <c r="N74" i="47"/>
  <c r="N75" i="47"/>
  <c r="N76" i="47"/>
  <c r="N77" i="47"/>
  <c r="N78" i="47"/>
  <c r="N79" i="47"/>
  <c r="N80" i="47"/>
  <c r="N81" i="47"/>
  <c r="N82" i="47"/>
  <c r="N83" i="47"/>
  <c r="N84" i="47"/>
  <c r="N89" i="47"/>
  <c r="N90" i="47"/>
  <c r="N91" i="47"/>
  <c r="N92" i="47"/>
  <c r="N93" i="47"/>
  <c r="N94" i="47"/>
  <c r="N95" i="47"/>
  <c r="N96" i="47"/>
  <c r="N97" i="47"/>
  <c r="N98" i="47"/>
  <c r="N99" i="47"/>
  <c r="N101" i="47"/>
  <c r="N102" i="47"/>
  <c r="N103" i="47"/>
  <c r="N104" i="47"/>
  <c r="N105" i="47"/>
  <c r="N106" i="47"/>
  <c r="N107" i="47"/>
  <c r="N108" i="47"/>
  <c r="N109" i="47"/>
  <c r="N110" i="47"/>
  <c r="N111" i="47"/>
  <c r="N112" i="47"/>
  <c r="N113" i="47"/>
  <c r="N114" i="47"/>
  <c r="N116" i="47"/>
  <c r="N117" i="47"/>
  <c r="N118" i="47"/>
  <c r="N119" i="47"/>
  <c r="N120" i="47"/>
  <c r="N121" i="47"/>
  <c r="N122" i="47"/>
  <c r="N123" i="47"/>
  <c r="N124" i="47"/>
  <c r="N125" i="47"/>
  <c r="N126" i="47"/>
  <c r="N127" i="47"/>
  <c r="N128" i="47"/>
  <c r="N129" i="47"/>
  <c r="N130" i="47"/>
  <c r="N132" i="47"/>
  <c r="N133" i="47"/>
  <c r="N134" i="47"/>
  <c r="N135" i="47"/>
  <c r="N136" i="47"/>
  <c r="N137" i="47"/>
  <c r="N138" i="47"/>
  <c r="N139" i="47"/>
  <c r="N140" i="47"/>
  <c r="N141" i="47"/>
  <c r="N142" i="47"/>
  <c r="N143" i="47"/>
  <c r="N144" i="47"/>
  <c r="N146" i="47"/>
  <c r="N147" i="47"/>
  <c r="N148" i="47"/>
  <c r="N149" i="47"/>
  <c r="N150" i="47"/>
  <c r="N151" i="47"/>
  <c r="N152" i="47"/>
  <c r="N153" i="47"/>
  <c r="N154" i="47"/>
  <c r="N155" i="47"/>
  <c r="N156" i="47"/>
  <c r="N157" i="47"/>
  <c r="N158" i="47"/>
  <c r="N159" i="47"/>
  <c r="N160" i="47"/>
  <c r="N161" i="47"/>
  <c r="N162" i="47"/>
  <c r="N163" i="47"/>
  <c r="N164" i="47"/>
  <c r="N165" i="47"/>
  <c r="N166" i="47"/>
  <c r="N168" i="47"/>
  <c r="N169" i="47"/>
  <c r="N170" i="47"/>
  <c r="N171" i="47"/>
  <c r="N172" i="47"/>
  <c r="N173" i="47"/>
  <c r="N174" i="47"/>
  <c r="N175" i="47"/>
  <c r="N176" i="47"/>
  <c r="N177" i="47"/>
  <c r="N178" i="47"/>
  <c r="N179" i="47"/>
  <c r="N180" i="47"/>
  <c r="N181" i="47"/>
  <c r="N183" i="47"/>
  <c r="N184" i="47"/>
  <c r="N185" i="47"/>
  <c r="N186" i="47"/>
  <c r="N187" i="47"/>
  <c r="N188" i="47"/>
  <c r="N189" i="47"/>
  <c r="N190" i="47"/>
  <c r="N191" i="47"/>
  <c r="N192" i="47"/>
  <c r="N193" i="47"/>
  <c r="N194" i="47"/>
  <c r="N195" i="47"/>
  <c r="N196" i="47"/>
  <c r="N197" i="47"/>
  <c r="N198" i="47"/>
  <c r="N199" i="47"/>
  <c r="N201" i="47"/>
  <c r="N202" i="47"/>
  <c r="N203" i="47"/>
  <c r="N204" i="47"/>
  <c r="N205" i="47"/>
  <c r="N206" i="47"/>
  <c r="N207" i="47"/>
  <c r="N208" i="47"/>
  <c r="N209" i="47"/>
  <c r="N210" i="47"/>
  <c r="N211" i="47"/>
  <c r="N213" i="47"/>
  <c r="N214" i="47"/>
  <c r="N215" i="47"/>
  <c r="N216" i="47"/>
  <c r="N217" i="47"/>
  <c r="N218" i="47"/>
  <c r="N219" i="47"/>
  <c r="N220" i="47"/>
  <c r="N221" i="47"/>
  <c r="N222" i="47"/>
  <c r="N223" i="47"/>
  <c r="N224" i="47"/>
  <c r="N225" i="47"/>
  <c r="N226" i="47"/>
  <c r="N227" i="47"/>
  <c r="N228" i="47"/>
  <c r="N229" i="47"/>
  <c r="N230" i="47"/>
  <c r="N232" i="47"/>
  <c r="N233" i="47"/>
  <c r="N234" i="47"/>
  <c r="N235" i="47"/>
  <c r="N240" i="47"/>
  <c r="N241" i="47"/>
  <c r="N242" i="47"/>
  <c r="N243" i="47"/>
  <c r="N244" i="47"/>
  <c r="N245" i="47"/>
  <c r="N246" i="47"/>
  <c r="N247" i="47"/>
  <c r="N249" i="47"/>
  <c r="N250" i="47"/>
  <c r="N251" i="47"/>
  <c r="N252" i="47"/>
  <c r="N253" i="47"/>
  <c r="N254" i="47"/>
  <c r="N255" i="47"/>
  <c r="N256" i="47"/>
  <c r="N257" i="47"/>
  <c r="N258" i="47"/>
  <c r="N259" i="47"/>
  <c r="N260" i="47"/>
  <c r="N262" i="47"/>
  <c r="N263" i="47"/>
  <c r="N264" i="47"/>
  <c r="N265" i="47"/>
  <c r="N266" i="47"/>
  <c r="N267" i="47"/>
  <c r="N268" i="47"/>
  <c r="N269" i="47"/>
  <c r="N270" i="47"/>
  <c r="N271" i="47"/>
  <c r="N272" i="47"/>
  <c r="N274" i="47"/>
  <c r="N275" i="47"/>
  <c r="N276" i="47"/>
  <c r="N277" i="47"/>
  <c r="N278" i="47"/>
  <c r="N279" i="47"/>
  <c r="N280" i="47"/>
  <c r="N281" i="47"/>
  <c r="N282" i="47"/>
  <c r="N283" i="47"/>
  <c r="N284" i="47"/>
  <c r="N285" i="47"/>
  <c r="N286" i="47"/>
  <c r="N287" i="47"/>
  <c r="N288" i="47"/>
  <c r="N289" i="47"/>
  <c r="N290" i="47"/>
  <c r="N291" i="47"/>
  <c r="N292" i="47"/>
  <c r="N293" i="47"/>
  <c r="N295" i="47"/>
  <c r="N296" i="47"/>
  <c r="N297" i="47"/>
  <c r="N298" i="47"/>
  <c r="N299" i="47"/>
  <c r="N300" i="47"/>
  <c r="N301" i="47"/>
  <c r="N302" i="47"/>
  <c r="N303" i="47"/>
  <c r="N304" i="47"/>
  <c r="N305" i="47"/>
  <c r="N306" i="47"/>
  <c r="N307" i="47"/>
  <c r="N308" i="47"/>
  <c r="N309" i="47"/>
  <c r="N310" i="47"/>
  <c r="N311" i="47"/>
  <c r="N312" i="47"/>
  <c r="N313" i="47"/>
  <c r="N314" i="47"/>
  <c r="N316" i="47"/>
  <c r="N317" i="47"/>
  <c r="N318" i="47"/>
  <c r="N319" i="47"/>
  <c r="N320" i="47"/>
  <c r="N321" i="47"/>
  <c r="N323" i="47"/>
  <c r="N324" i="47"/>
  <c r="N325" i="47"/>
  <c r="N327" i="47"/>
  <c r="N328" i="47"/>
  <c r="N329" i="47"/>
  <c r="N337" i="47"/>
  <c r="O337" i="47" l="1"/>
  <c r="O44" i="10"/>
  <c r="O45" i="10" s="1"/>
  <c r="L43" i="10"/>
  <c r="M29" i="46"/>
  <c r="M30" i="46"/>
  <c r="M31" i="46"/>
  <c r="M32" i="46"/>
  <c r="M33" i="46"/>
  <c r="M34" i="46"/>
  <c r="M35" i="46"/>
  <c r="M36" i="46"/>
  <c r="M37" i="46"/>
  <c r="M38" i="46"/>
  <c r="M39" i="46"/>
  <c r="M40" i="46"/>
  <c r="M41" i="46"/>
  <c r="M42" i="46"/>
  <c r="M43" i="46"/>
  <c r="M44" i="46"/>
  <c r="M45" i="46"/>
  <c r="M46" i="46"/>
  <c r="M47" i="46"/>
  <c r="M49" i="46"/>
  <c r="M50" i="46"/>
  <c r="M51" i="46"/>
  <c r="M53" i="46"/>
  <c r="M54" i="46"/>
  <c r="M55" i="46"/>
  <c r="M56" i="46"/>
  <c r="M57" i="46"/>
  <c r="M58" i="46"/>
  <c r="M59" i="46"/>
  <c r="M61" i="46"/>
  <c r="M62" i="46"/>
  <c r="M63" i="46"/>
  <c r="M64" i="46"/>
  <c r="M65" i="46"/>
  <c r="M66" i="46"/>
  <c r="M67" i="46"/>
  <c r="M68" i="46"/>
  <c r="M69" i="46"/>
  <c r="M71" i="46"/>
  <c r="M72" i="46"/>
  <c r="M73" i="46"/>
  <c r="M74" i="46"/>
  <c r="M75" i="46"/>
  <c r="M76" i="46"/>
  <c r="M77" i="46"/>
  <c r="M78" i="46"/>
  <c r="M79" i="46"/>
  <c r="M80" i="46"/>
  <c r="M81" i="46"/>
  <c r="M82" i="46"/>
  <c r="M83" i="46"/>
  <c r="M84" i="46"/>
  <c r="M87" i="46"/>
  <c r="M89" i="46"/>
  <c r="M90" i="46"/>
  <c r="M91" i="46"/>
  <c r="M92" i="46"/>
  <c r="M93" i="46"/>
  <c r="M94" i="46"/>
  <c r="M95" i="46"/>
  <c r="M96" i="46"/>
  <c r="M97" i="46"/>
  <c r="M98" i="46"/>
  <c r="M99" i="46"/>
  <c r="M101" i="46"/>
  <c r="M102" i="46"/>
  <c r="M103" i="46"/>
  <c r="M104" i="46"/>
  <c r="M105" i="46"/>
  <c r="M106" i="46"/>
  <c r="M107" i="46"/>
  <c r="M108" i="46"/>
  <c r="M109" i="46"/>
  <c r="M110" i="46"/>
  <c r="M111" i="46"/>
  <c r="M112" i="46"/>
  <c r="M113" i="46"/>
  <c r="M114" i="46"/>
  <c r="M115" i="46"/>
  <c r="M116" i="46"/>
  <c r="M117" i="46"/>
  <c r="M118" i="46"/>
  <c r="M119" i="46"/>
  <c r="M120" i="46"/>
  <c r="M121" i="46"/>
  <c r="M122" i="46"/>
  <c r="M123" i="46"/>
  <c r="M124" i="46"/>
  <c r="M125" i="46"/>
  <c r="M126" i="46"/>
  <c r="M127" i="46"/>
  <c r="M128" i="46"/>
  <c r="M129" i="46"/>
  <c r="M130" i="46"/>
  <c r="M132" i="46"/>
  <c r="M133" i="46"/>
  <c r="M134" i="46"/>
  <c r="M135" i="46"/>
  <c r="M136" i="46"/>
  <c r="M137" i="46"/>
  <c r="M138" i="46"/>
  <c r="M139" i="46"/>
  <c r="M140" i="46"/>
  <c r="M141" i="46"/>
  <c r="M142" i="46"/>
  <c r="M143" i="46"/>
  <c r="M144" i="46"/>
  <c r="M146" i="46"/>
  <c r="M147" i="46"/>
  <c r="M148" i="46"/>
  <c r="M149" i="46"/>
  <c r="M150" i="46"/>
  <c r="M151" i="46"/>
  <c r="M152" i="46"/>
  <c r="M153" i="46"/>
  <c r="M154" i="46"/>
  <c r="M155" i="46"/>
  <c r="M156" i="46"/>
  <c r="M157" i="46"/>
  <c r="M158" i="46"/>
  <c r="M159" i="46"/>
  <c r="M160" i="46"/>
  <c r="M161" i="46"/>
  <c r="M162" i="46"/>
  <c r="M163" i="46"/>
  <c r="M164" i="46"/>
  <c r="M165" i="46"/>
  <c r="M166" i="46"/>
  <c r="M168" i="46"/>
  <c r="M169" i="46"/>
  <c r="M170" i="46"/>
  <c r="M171" i="46"/>
  <c r="M172" i="46"/>
  <c r="M173" i="46"/>
  <c r="M174" i="46"/>
  <c r="M175" i="46"/>
  <c r="M176" i="46"/>
  <c r="M177" i="46"/>
  <c r="M178" i="46"/>
  <c r="M179" i="46"/>
  <c r="M180" i="46"/>
  <c r="M181" i="46"/>
  <c r="M183" i="46"/>
  <c r="M184" i="46"/>
  <c r="M185" i="46"/>
  <c r="M186" i="46"/>
  <c r="M187" i="46"/>
  <c r="M188" i="46"/>
  <c r="M189" i="46"/>
  <c r="M190" i="46"/>
  <c r="M191" i="46"/>
  <c r="M192" i="46"/>
  <c r="M193" i="46"/>
  <c r="M194" i="46"/>
  <c r="M195" i="46"/>
  <c r="M196" i="46"/>
  <c r="M197" i="46"/>
  <c r="M198" i="46"/>
  <c r="M199" i="46"/>
  <c r="M201" i="46"/>
  <c r="M202" i="46"/>
  <c r="M203" i="46"/>
  <c r="M204" i="46"/>
  <c r="M205" i="46"/>
  <c r="M206" i="46"/>
  <c r="M207" i="46"/>
  <c r="M208" i="46"/>
  <c r="M209" i="46"/>
  <c r="M210" i="46"/>
  <c r="M211" i="46"/>
  <c r="M213" i="46"/>
  <c r="M214" i="46"/>
  <c r="M215" i="46"/>
  <c r="M216" i="46"/>
  <c r="M217" i="46"/>
  <c r="M218" i="46"/>
  <c r="M219" i="46"/>
  <c r="M220" i="46"/>
  <c r="M221" i="46"/>
  <c r="M222" i="46"/>
  <c r="M223" i="46"/>
  <c r="M224" i="46"/>
  <c r="M225" i="46"/>
  <c r="M226" i="46"/>
  <c r="M227" i="46"/>
  <c r="M228" i="46"/>
  <c r="M229" i="46"/>
  <c r="M230" i="46"/>
  <c r="M232" i="46"/>
  <c r="M233" i="46"/>
  <c r="M234" i="46"/>
  <c r="M235" i="46"/>
  <c r="M240" i="46"/>
  <c r="M241" i="46"/>
  <c r="M242" i="46"/>
  <c r="M243" i="46"/>
  <c r="M244" i="46"/>
  <c r="M245" i="46"/>
  <c r="M246" i="46"/>
  <c r="M247" i="46"/>
  <c r="M249" i="46"/>
  <c r="M250" i="46"/>
  <c r="M251" i="46"/>
  <c r="M252" i="46"/>
  <c r="M253" i="46"/>
  <c r="M254" i="46"/>
  <c r="M255" i="46"/>
  <c r="M256" i="46"/>
  <c r="M257" i="46"/>
  <c r="M258" i="46"/>
  <c r="M259" i="46"/>
  <c r="M260" i="46"/>
  <c r="M262" i="46"/>
  <c r="M263" i="46"/>
  <c r="M264" i="46"/>
  <c r="M265" i="46"/>
  <c r="M266" i="46"/>
  <c r="M267" i="46"/>
  <c r="M268" i="46"/>
  <c r="M269" i="46"/>
  <c r="M270" i="46"/>
  <c r="M271" i="46"/>
  <c r="M272" i="46"/>
  <c r="M274" i="46"/>
  <c r="M275" i="46"/>
  <c r="M276" i="46"/>
  <c r="M277" i="46"/>
  <c r="M278" i="46"/>
  <c r="M279" i="46"/>
  <c r="M280" i="46"/>
  <c r="M281" i="46"/>
  <c r="M282" i="46"/>
  <c r="M283" i="46"/>
  <c r="M284" i="46"/>
  <c r="M285" i="46"/>
  <c r="M286" i="46"/>
  <c r="M287" i="46"/>
  <c r="M288" i="46"/>
  <c r="M289" i="46"/>
  <c r="M290" i="46"/>
  <c r="M291" i="46"/>
  <c r="M292" i="46"/>
  <c r="M293" i="46"/>
  <c r="M295" i="46"/>
  <c r="M296" i="46"/>
  <c r="M297" i="46"/>
  <c r="M298" i="46"/>
  <c r="M299" i="46"/>
  <c r="M300" i="46"/>
  <c r="M301" i="46"/>
  <c r="M302" i="46"/>
  <c r="M303" i="46"/>
  <c r="M304" i="46"/>
  <c r="M305" i="46"/>
  <c r="M306" i="46"/>
  <c r="M307" i="46"/>
  <c r="M308" i="46"/>
  <c r="M309" i="46"/>
  <c r="M310" i="46"/>
  <c r="M311" i="46"/>
  <c r="M312" i="46"/>
  <c r="M313" i="46"/>
  <c r="M314" i="46"/>
  <c r="M316" i="46"/>
  <c r="M317" i="46"/>
  <c r="M318" i="46"/>
  <c r="M319" i="46"/>
  <c r="M320" i="46"/>
  <c r="M321" i="46"/>
  <c r="M323" i="46"/>
  <c r="M324" i="46"/>
  <c r="M325" i="46"/>
  <c r="M326" i="46"/>
  <c r="M327" i="46"/>
  <c r="M328" i="46"/>
  <c r="M329" i="46"/>
  <c r="M337" i="46"/>
  <c r="O337" i="46" s="1"/>
  <c r="M338" i="46"/>
  <c r="O338" i="46" s="1"/>
  <c r="M339" i="46"/>
  <c r="O339" i="46" s="1"/>
  <c r="M341" i="46"/>
  <c r="O341" i="46" s="1"/>
  <c r="M342" i="46"/>
  <c r="O342" i="46" s="1"/>
  <c r="M343" i="46"/>
  <c r="O343" i="46" s="1"/>
  <c r="M345" i="46"/>
  <c r="O345" i="46" s="1"/>
  <c r="M346" i="46"/>
  <c r="O346" i="46" s="1"/>
  <c r="M347" i="46"/>
  <c r="O347" i="46" s="1"/>
  <c r="M348" i="46"/>
  <c r="O348" i="46" s="1"/>
  <c r="M349" i="46"/>
  <c r="O349" i="46" s="1"/>
  <c r="M350" i="46"/>
  <c r="O350" i="46" s="1"/>
  <c r="M351" i="46"/>
  <c r="O351" i="46" s="1"/>
  <c r="M29" i="47"/>
  <c r="M30" i="47"/>
  <c r="M31" i="47"/>
  <c r="M32" i="47"/>
  <c r="M33" i="47"/>
  <c r="M34" i="47"/>
  <c r="M35" i="47"/>
  <c r="M36" i="47"/>
  <c r="M37" i="47"/>
  <c r="M38" i="47"/>
  <c r="M39" i="47"/>
  <c r="M40" i="47"/>
  <c r="M41" i="47"/>
  <c r="M42" i="47"/>
  <c r="M43" i="47"/>
  <c r="M44" i="47"/>
  <c r="M45" i="47"/>
  <c r="M46" i="47"/>
  <c r="M47" i="47"/>
  <c r="M49" i="47"/>
  <c r="M50" i="47"/>
  <c r="M51" i="47"/>
  <c r="M53" i="47"/>
  <c r="M54" i="47"/>
  <c r="M55" i="47"/>
  <c r="M56" i="47"/>
  <c r="M57" i="47"/>
  <c r="M58" i="47"/>
  <c r="M59" i="47"/>
  <c r="M61" i="47"/>
  <c r="M62" i="47"/>
  <c r="M63" i="47"/>
  <c r="M64" i="47"/>
  <c r="M65" i="47"/>
  <c r="M66" i="47"/>
  <c r="M67" i="47"/>
  <c r="M68" i="47"/>
  <c r="M69" i="47"/>
  <c r="M71" i="47"/>
  <c r="M72" i="47"/>
  <c r="M73" i="47"/>
  <c r="M74" i="47"/>
  <c r="M75" i="47"/>
  <c r="M76" i="47"/>
  <c r="M77" i="47"/>
  <c r="M78" i="47"/>
  <c r="M79" i="47"/>
  <c r="M80" i="47"/>
  <c r="M81" i="47"/>
  <c r="M82" i="47"/>
  <c r="M83" i="47"/>
  <c r="M84" i="47"/>
  <c r="M89" i="47"/>
  <c r="M90" i="47"/>
  <c r="M91" i="47"/>
  <c r="M92" i="47"/>
  <c r="M93" i="47"/>
  <c r="M94" i="47"/>
  <c r="M95" i="47"/>
  <c r="M96" i="47"/>
  <c r="M97" i="47"/>
  <c r="M98" i="47"/>
  <c r="M99" i="47"/>
  <c r="M101" i="47"/>
  <c r="M102" i="47"/>
  <c r="M103" i="47"/>
  <c r="M104" i="47"/>
  <c r="M105" i="47"/>
  <c r="M106" i="47"/>
  <c r="M107" i="47"/>
  <c r="M108" i="47"/>
  <c r="M109" i="47"/>
  <c r="M110" i="47"/>
  <c r="M111" i="47"/>
  <c r="M112" i="47"/>
  <c r="M113" i="47"/>
  <c r="M114" i="47"/>
  <c r="M115" i="47"/>
  <c r="M116" i="47"/>
  <c r="M117" i="47"/>
  <c r="M118" i="47"/>
  <c r="M119" i="47"/>
  <c r="M120" i="47"/>
  <c r="M121" i="47"/>
  <c r="M122" i="47"/>
  <c r="M123" i="47"/>
  <c r="M124" i="47"/>
  <c r="M125" i="47"/>
  <c r="M126" i="47"/>
  <c r="M127" i="47"/>
  <c r="M128" i="47"/>
  <c r="M129" i="47"/>
  <c r="M130" i="47"/>
  <c r="M132" i="47"/>
  <c r="M133" i="47"/>
  <c r="M134" i="47"/>
  <c r="M135" i="47"/>
  <c r="M136" i="47"/>
  <c r="M137" i="47"/>
  <c r="M138" i="47"/>
  <c r="M139" i="47"/>
  <c r="M140" i="47"/>
  <c r="M141" i="47"/>
  <c r="M142" i="47"/>
  <c r="M143" i="47"/>
  <c r="M144" i="47"/>
  <c r="M146" i="47"/>
  <c r="M147" i="47"/>
  <c r="M148" i="47"/>
  <c r="M149" i="47"/>
  <c r="M150" i="47"/>
  <c r="M151" i="47"/>
  <c r="M152" i="47"/>
  <c r="M153" i="47"/>
  <c r="M154" i="47"/>
  <c r="M155" i="47"/>
  <c r="M156" i="47"/>
  <c r="M157" i="47"/>
  <c r="M158" i="47"/>
  <c r="M159" i="47"/>
  <c r="M160" i="47"/>
  <c r="M161" i="47"/>
  <c r="M162" i="47"/>
  <c r="M163" i="47"/>
  <c r="M164" i="47"/>
  <c r="M165" i="47"/>
  <c r="M166" i="47"/>
  <c r="M168" i="47"/>
  <c r="M169" i="47"/>
  <c r="M170" i="47"/>
  <c r="M171" i="47"/>
  <c r="M172" i="47"/>
  <c r="M173" i="47"/>
  <c r="M174" i="47"/>
  <c r="M175" i="47"/>
  <c r="M176" i="47"/>
  <c r="M177" i="47"/>
  <c r="M178" i="47"/>
  <c r="M179" i="47"/>
  <c r="M180" i="47"/>
  <c r="M181" i="47"/>
  <c r="M183" i="47"/>
  <c r="M184" i="47"/>
  <c r="M185" i="47"/>
  <c r="M186" i="47"/>
  <c r="M187" i="47"/>
  <c r="M188" i="47"/>
  <c r="M189" i="47"/>
  <c r="M190" i="47"/>
  <c r="M191" i="47"/>
  <c r="M192" i="47"/>
  <c r="M193" i="47"/>
  <c r="M194" i="47"/>
  <c r="M195" i="47"/>
  <c r="M196" i="47"/>
  <c r="M197" i="47"/>
  <c r="M198" i="47"/>
  <c r="M199" i="47"/>
  <c r="M201" i="47"/>
  <c r="M202" i="47"/>
  <c r="M203" i="47"/>
  <c r="M204" i="47"/>
  <c r="M205" i="47"/>
  <c r="M206" i="47"/>
  <c r="M207" i="47"/>
  <c r="M208" i="47"/>
  <c r="M209" i="47"/>
  <c r="M210" i="47"/>
  <c r="M211" i="47"/>
  <c r="M213" i="47"/>
  <c r="M214" i="47"/>
  <c r="M215" i="47"/>
  <c r="M216" i="47"/>
  <c r="M217" i="47"/>
  <c r="M218" i="47"/>
  <c r="M219" i="47"/>
  <c r="M220" i="47"/>
  <c r="M221" i="47"/>
  <c r="M222" i="47"/>
  <c r="M223" i="47"/>
  <c r="M224" i="47"/>
  <c r="M225" i="47"/>
  <c r="M226" i="47"/>
  <c r="M227" i="47"/>
  <c r="M228" i="47"/>
  <c r="M229" i="47"/>
  <c r="M230" i="47"/>
  <c r="M232" i="47"/>
  <c r="M233" i="47"/>
  <c r="M234" i="47"/>
  <c r="M235" i="47"/>
  <c r="M240" i="47"/>
  <c r="M241" i="47"/>
  <c r="M242" i="47"/>
  <c r="M243" i="47"/>
  <c r="M244" i="47"/>
  <c r="M245" i="47"/>
  <c r="M246" i="47"/>
  <c r="M247" i="47"/>
  <c r="M249" i="47"/>
  <c r="M250" i="47"/>
  <c r="M251" i="47"/>
  <c r="M252" i="47"/>
  <c r="M253" i="47"/>
  <c r="M254" i="47"/>
  <c r="M255" i="47"/>
  <c r="M256" i="47"/>
  <c r="M257" i="47"/>
  <c r="M258" i="47"/>
  <c r="M259" i="47"/>
  <c r="M260" i="47"/>
  <c r="M262" i="47"/>
  <c r="M263" i="47"/>
  <c r="M264" i="47"/>
  <c r="M265" i="47"/>
  <c r="M266" i="47"/>
  <c r="M267" i="47"/>
  <c r="M268" i="47"/>
  <c r="M269" i="47"/>
  <c r="M270" i="47"/>
  <c r="M271" i="47"/>
  <c r="M274" i="47"/>
  <c r="M275" i="47"/>
  <c r="M276" i="47"/>
  <c r="M277" i="47"/>
  <c r="M278" i="47"/>
  <c r="M279" i="47"/>
  <c r="M280" i="47"/>
  <c r="M281" i="47"/>
  <c r="M282" i="47"/>
  <c r="M283" i="47"/>
  <c r="M284" i="47"/>
  <c r="M285" i="47"/>
  <c r="M286" i="47"/>
  <c r="M287" i="47"/>
  <c r="M288" i="47"/>
  <c r="M289" i="47"/>
  <c r="M290" i="47"/>
  <c r="M291" i="47"/>
  <c r="M292" i="47"/>
  <c r="M293" i="47"/>
  <c r="M295" i="47"/>
  <c r="M296" i="47"/>
  <c r="M297" i="47"/>
  <c r="M298" i="47"/>
  <c r="M299" i="47"/>
  <c r="M300" i="47"/>
  <c r="M301" i="47"/>
  <c r="M302" i="47"/>
  <c r="M303" i="47"/>
  <c r="M304" i="47"/>
  <c r="M305" i="47"/>
  <c r="M306" i="47"/>
  <c r="M307" i="47"/>
  <c r="M308" i="47"/>
  <c r="M309" i="47"/>
  <c r="M310" i="47"/>
  <c r="M311" i="47"/>
  <c r="M312" i="47"/>
  <c r="M313" i="47"/>
  <c r="M314" i="47"/>
  <c r="M316" i="47"/>
  <c r="M317" i="47"/>
  <c r="M318" i="47"/>
  <c r="M319" i="47"/>
  <c r="M320" i="47"/>
  <c r="M321" i="47"/>
  <c r="M323" i="47"/>
  <c r="M324" i="47"/>
  <c r="M325" i="47"/>
  <c r="M326" i="47"/>
  <c r="M327" i="47"/>
  <c r="M328" i="47"/>
  <c r="M329" i="47"/>
  <c r="M337" i="47"/>
  <c r="M338" i="47"/>
  <c r="M339" i="47"/>
  <c r="M340" i="47"/>
  <c r="M341" i="47"/>
  <c r="M342" i="47"/>
  <c r="H338" i="48" l="1"/>
  <c r="I363" i="48" s="1"/>
  <c r="H339" i="48"/>
  <c r="H340" i="48"/>
  <c r="H341" i="48"/>
  <c r="H342" i="48"/>
  <c r="H343" i="48"/>
  <c r="H344" i="48"/>
  <c r="C3" i="48"/>
  <c r="E361" i="48"/>
  <c r="E360" i="48"/>
  <c r="B360" i="48"/>
  <c r="E358" i="48"/>
  <c r="E357" i="48"/>
  <c r="E356" i="48"/>
  <c r="B336" i="48"/>
  <c r="B335" i="48"/>
  <c r="B334" i="48"/>
  <c r="B333" i="48"/>
  <c r="B332" i="48"/>
  <c r="E331" i="48"/>
  <c r="B331" i="48"/>
  <c r="B330" i="48"/>
  <c r="E329" i="48"/>
  <c r="B329" i="48"/>
  <c r="E328" i="48"/>
  <c r="B328" i="48"/>
  <c r="E327" i="48"/>
  <c r="B327" i="48"/>
  <c r="E326" i="48"/>
  <c r="B326" i="48"/>
  <c r="B325" i="48"/>
  <c r="B324" i="48"/>
  <c r="B323" i="48"/>
  <c r="B322" i="48"/>
  <c r="E321" i="48"/>
  <c r="B321" i="48"/>
  <c r="E320" i="48"/>
  <c r="B320" i="48"/>
  <c r="E319" i="48"/>
  <c r="B319" i="48"/>
  <c r="E318" i="48"/>
  <c r="B318" i="48"/>
  <c r="E317" i="48"/>
  <c r="B317" i="48"/>
  <c r="E316" i="48"/>
  <c r="B316" i="48"/>
  <c r="B315" i="48"/>
  <c r="E314" i="48"/>
  <c r="B314" i="48"/>
  <c r="E313" i="48"/>
  <c r="B313" i="48"/>
  <c r="E312" i="48"/>
  <c r="B312" i="48"/>
  <c r="E311" i="48"/>
  <c r="B311" i="48"/>
  <c r="E310" i="48"/>
  <c r="B310" i="48"/>
  <c r="E309" i="48"/>
  <c r="B309" i="48"/>
  <c r="E308" i="48"/>
  <c r="B308" i="48"/>
  <c r="E307" i="48"/>
  <c r="B307" i="48"/>
  <c r="E306" i="48"/>
  <c r="B306" i="48"/>
  <c r="E305" i="48"/>
  <c r="B305" i="48"/>
  <c r="E304" i="48"/>
  <c r="B304" i="48"/>
  <c r="E303" i="48"/>
  <c r="B303" i="48"/>
  <c r="B302" i="48"/>
  <c r="B301" i="48"/>
  <c r="B300" i="48"/>
  <c r="B299" i="48"/>
  <c r="B298" i="48"/>
  <c r="B297" i="48"/>
  <c r="B296" i="48"/>
  <c r="B295" i="48"/>
  <c r="B294" i="48"/>
  <c r="E293" i="48"/>
  <c r="B293" i="48"/>
  <c r="E292" i="48"/>
  <c r="B292" i="48"/>
  <c r="E291" i="48"/>
  <c r="B291" i="48"/>
  <c r="E290" i="48"/>
  <c r="B290" i="48"/>
  <c r="E289" i="48"/>
  <c r="B289" i="48"/>
  <c r="E288" i="48"/>
  <c r="B288" i="48"/>
  <c r="E287" i="48"/>
  <c r="B287" i="48"/>
  <c r="E286" i="48"/>
  <c r="B286" i="48"/>
  <c r="E285" i="48"/>
  <c r="B285" i="48"/>
  <c r="E284" i="48"/>
  <c r="B284" i="48"/>
  <c r="E283" i="48"/>
  <c r="B283" i="48"/>
  <c r="E282" i="48"/>
  <c r="B282" i="48"/>
  <c r="E281" i="48"/>
  <c r="B281" i="48"/>
  <c r="E280" i="48"/>
  <c r="B280" i="48"/>
  <c r="E279" i="48"/>
  <c r="B279" i="48"/>
  <c r="E278" i="48"/>
  <c r="B278" i="48"/>
  <c r="E277" i="48"/>
  <c r="B277" i="48"/>
  <c r="E276" i="48"/>
  <c r="B276" i="48"/>
  <c r="B275" i="48"/>
  <c r="B274" i="48"/>
  <c r="B273" i="48"/>
  <c r="B272" i="48"/>
  <c r="E271" i="48"/>
  <c r="F271" i="48" s="1"/>
  <c r="B271" i="48"/>
  <c r="E270" i="48"/>
  <c r="F270" i="48" s="1"/>
  <c r="B270" i="48"/>
  <c r="E269" i="48"/>
  <c r="B269" i="48"/>
  <c r="E268" i="48"/>
  <c r="B268" i="48"/>
  <c r="E267" i="48"/>
  <c r="F267" i="48" s="1"/>
  <c r="B267" i="48"/>
  <c r="E266" i="48"/>
  <c r="F266" i="48" s="1"/>
  <c r="B266" i="48"/>
  <c r="E265" i="48"/>
  <c r="B265" i="48"/>
  <c r="E264" i="48"/>
  <c r="B264" i="48"/>
  <c r="F263" i="48"/>
  <c r="B263" i="48"/>
  <c r="F262" i="48"/>
  <c r="B262" i="48"/>
  <c r="B261" i="48"/>
  <c r="E260" i="48"/>
  <c r="F260" i="48" s="1"/>
  <c r="B260" i="48"/>
  <c r="E259" i="48"/>
  <c r="F259" i="48" s="1"/>
  <c r="B259" i="48"/>
  <c r="E258" i="48"/>
  <c r="F258" i="48" s="1"/>
  <c r="B258" i="48"/>
  <c r="E257" i="48"/>
  <c r="F257" i="48" s="1"/>
  <c r="B257" i="48"/>
  <c r="F256" i="48"/>
  <c r="B256" i="48"/>
  <c r="F255" i="48"/>
  <c r="B255" i="48"/>
  <c r="B254" i="48"/>
  <c r="F253" i="48"/>
  <c r="B253" i="48"/>
  <c r="B252" i="48"/>
  <c r="B251" i="48"/>
  <c r="F250" i="48"/>
  <c r="B250" i="48"/>
  <c r="F249" i="48"/>
  <c r="B249" i="48"/>
  <c r="B248" i="48"/>
  <c r="E247" i="48"/>
  <c r="F247" i="48" s="1"/>
  <c r="B247" i="48"/>
  <c r="E246" i="48"/>
  <c r="B246" i="48"/>
  <c r="E245" i="48"/>
  <c r="F245" i="48" s="1"/>
  <c r="B245" i="48"/>
  <c r="E244" i="48"/>
  <c r="B244" i="48"/>
  <c r="E243" i="48"/>
  <c r="F243" i="48" s="1"/>
  <c r="B243" i="48"/>
  <c r="E242" i="48"/>
  <c r="B242" i="48"/>
  <c r="E241" i="48"/>
  <c r="F241" i="48" s="1"/>
  <c r="B241" i="48"/>
  <c r="B240" i="48"/>
  <c r="B239" i="48"/>
  <c r="B238" i="48"/>
  <c r="B237" i="48"/>
  <c r="B236" i="48"/>
  <c r="E235" i="48"/>
  <c r="B235" i="48"/>
  <c r="E234" i="48"/>
  <c r="B234" i="48"/>
  <c r="E233" i="48"/>
  <c r="B233" i="48"/>
  <c r="E232" i="48"/>
  <c r="B232" i="48"/>
  <c r="E231" i="48"/>
  <c r="B231" i="48"/>
  <c r="E230" i="48"/>
  <c r="B230" i="48"/>
  <c r="E229" i="48"/>
  <c r="B229" i="48"/>
  <c r="E228" i="48"/>
  <c r="B228" i="48"/>
  <c r="E227" i="48"/>
  <c r="B227" i="48"/>
  <c r="E226" i="48"/>
  <c r="B226" i="48"/>
  <c r="E225" i="48"/>
  <c r="B225" i="48"/>
  <c r="E224" i="48"/>
  <c r="B224" i="48"/>
  <c r="E223" i="48"/>
  <c r="B223" i="48"/>
  <c r="E222" i="48"/>
  <c r="B222" i="48"/>
  <c r="E221" i="48"/>
  <c r="B221" i="48"/>
  <c r="E220" i="48"/>
  <c r="B220" i="48"/>
  <c r="E219" i="48"/>
  <c r="B219" i="48"/>
  <c r="E218" i="48"/>
  <c r="B218" i="48"/>
  <c r="E217" i="48"/>
  <c r="B217" i="48"/>
  <c r="E216" i="48"/>
  <c r="B216" i="48"/>
  <c r="E215" i="48"/>
  <c r="B215" i="48"/>
  <c r="E214" i="48"/>
  <c r="B214" i="48"/>
  <c r="B213" i="48"/>
  <c r="B212" i="48"/>
  <c r="B211" i="48"/>
  <c r="B210" i="48"/>
  <c r="E209" i="48"/>
  <c r="B209" i="48"/>
  <c r="B208" i="48"/>
  <c r="B207" i="48"/>
  <c r="B206" i="48"/>
  <c r="B205" i="48"/>
  <c r="B204" i="48"/>
  <c r="B203" i="48"/>
  <c r="B202" i="48"/>
  <c r="B201" i="48"/>
  <c r="B200" i="48"/>
  <c r="B199" i="48"/>
  <c r="B198" i="48"/>
  <c r="B197" i="48"/>
  <c r="B196" i="48"/>
  <c r="B195" i="48"/>
  <c r="B194" i="48"/>
  <c r="B193" i="48"/>
  <c r="B192" i="48"/>
  <c r="B191" i="48"/>
  <c r="B190" i="48"/>
  <c r="B189" i="48"/>
  <c r="B188" i="48"/>
  <c r="B187" i="48"/>
  <c r="B186" i="48"/>
  <c r="B185" i="48"/>
  <c r="B184" i="48"/>
  <c r="B183" i="48"/>
  <c r="B182" i="48"/>
  <c r="E181" i="48"/>
  <c r="B181" i="48"/>
  <c r="E180" i="48"/>
  <c r="B180" i="48"/>
  <c r="E179" i="48"/>
  <c r="B179" i="48"/>
  <c r="E178" i="48"/>
  <c r="B178" i="48"/>
  <c r="B177" i="48"/>
  <c r="B176" i="48"/>
  <c r="B175" i="48"/>
  <c r="B174" i="48"/>
  <c r="B173" i="48"/>
  <c r="B172" i="48"/>
  <c r="B171" i="48"/>
  <c r="B170" i="48"/>
  <c r="B169" i="48"/>
  <c r="B168" i="48"/>
  <c r="B167" i="48"/>
  <c r="E166" i="48"/>
  <c r="B166" i="48"/>
  <c r="E165" i="48"/>
  <c r="B165" i="48"/>
  <c r="E164" i="48"/>
  <c r="B164" i="48"/>
  <c r="E163" i="48"/>
  <c r="B163" i="48"/>
  <c r="B162" i="48"/>
  <c r="B161" i="48"/>
  <c r="B160" i="48"/>
  <c r="B159" i="48"/>
  <c r="B158" i="48"/>
  <c r="B157" i="48"/>
  <c r="B156" i="48"/>
  <c r="B155" i="48"/>
  <c r="B154" i="48"/>
  <c r="B153" i="48"/>
  <c r="B152" i="48"/>
  <c r="B151" i="48"/>
  <c r="B150" i="48"/>
  <c r="B149" i="48"/>
  <c r="B148" i="48"/>
  <c r="B147" i="48"/>
  <c r="B146" i="48"/>
  <c r="B145" i="48"/>
  <c r="E144" i="48"/>
  <c r="B144" i="48"/>
  <c r="E143" i="48"/>
  <c r="B143" i="48"/>
  <c r="E142" i="48"/>
  <c r="B142" i="48"/>
  <c r="E141" i="48"/>
  <c r="B141" i="48"/>
  <c r="B140" i="48"/>
  <c r="B139" i="48"/>
  <c r="B138" i="48"/>
  <c r="B137" i="48"/>
  <c r="B136" i="48"/>
  <c r="B135" i="48"/>
  <c r="B134" i="48"/>
  <c r="B133" i="48"/>
  <c r="B132" i="48"/>
  <c r="B131" i="48"/>
  <c r="E130" i="48"/>
  <c r="B130" i="48"/>
  <c r="E129" i="48"/>
  <c r="B129" i="48"/>
  <c r="E128" i="48"/>
  <c r="B128" i="48"/>
  <c r="E127" i="48"/>
  <c r="B127" i="48"/>
  <c r="E126" i="48"/>
  <c r="B126" i="48"/>
  <c r="E125" i="48"/>
  <c r="B125" i="48"/>
  <c r="E124" i="48"/>
  <c r="B124" i="48"/>
  <c r="E123" i="48"/>
  <c r="B123" i="48"/>
  <c r="E122" i="48"/>
  <c r="B122" i="48"/>
  <c r="E121" i="48"/>
  <c r="B121" i="48"/>
  <c r="E120" i="48"/>
  <c r="B120" i="48"/>
  <c r="E119" i="48"/>
  <c r="B119" i="48"/>
  <c r="B118" i="48"/>
  <c r="B117" i="48"/>
  <c r="B116" i="48"/>
  <c r="B115" i="48"/>
  <c r="B114" i="48"/>
  <c r="B113" i="48"/>
  <c r="B112" i="48"/>
  <c r="B111" i="48"/>
  <c r="B110" i="48"/>
  <c r="B109" i="48"/>
  <c r="B108" i="48"/>
  <c r="B107" i="48"/>
  <c r="B106" i="48"/>
  <c r="B105" i="48"/>
  <c r="B104" i="48"/>
  <c r="B103" i="48"/>
  <c r="B102" i="48"/>
  <c r="B101" i="48"/>
  <c r="B100" i="48"/>
  <c r="E99" i="48"/>
  <c r="B99" i="48"/>
  <c r="B98" i="48"/>
  <c r="B97" i="48"/>
  <c r="B96" i="48"/>
  <c r="B95" i="48"/>
  <c r="B94" i="48"/>
  <c r="B93" i="48"/>
  <c r="B92" i="48"/>
  <c r="B91" i="48"/>
  <c r="B90" i="48"/>
  <c r="B89" i="48"/>
  <c r="B88" i="48"/>
  <c r="B87" i="48"/>
  <c r="E86" i="48"/>
  <c r="B86" i="48"/>
  <c r="E85" i="48"/>
  <c r="B85" i="48"/>
  <c r="E84" i="48"/>
  <c r="B84" i="48"/>
  <c r="E83" i="48"/>
  <c r="B83" i="48"/>
  <c r="E82" i="48"/>
  <c r="B82" i="48"/>
  <c r="E81" i="48"/>
  <c r="B81" i="48"/>
  <c r="E80" i="48"/>
  <c r="B80" i="48"/>
  <c r="E79" i="48"/>
  <c r="B79" i="48"/>
  <c r="E78" i="48"/>
  <c r="B78" i="48"/>
  <c r="B77" i="48"/>
  <c r="B76" i="48"/>
  <c r="B75" i="48"/>
  <c r="B74" i="48"/>
  <c r="B73" i="48"/>
  <c r="B72" i="48"/>
  <c r="B71" i="48"/>
  <c r="B70" i="48"/>
  <c r="E69" i="48"/>
  <c r="B69" i="48"/>
  <c r="E68" i="48"/>
  <c r="B68" i="48"/>
  <c r="E67" i="48"/>
  <c r="B67" i="48"/>
  <c r="E66" i="48"/>
  <c r="B66" i="48"/>
  <c r="B65" i="48"/>
  <c r="B64" i="48"/>
  <c r="B63" i="48"/>
  <c r="B62" i="48"/>
  <c r="B61" i="48"/>
  <c r="B60" i="48"/>
  <c r="E59" i="48"/>
  <c r="B59" i="48"/>
  <c r="E58" i="48"/>
  <c r="B58" i="48"/>
  <c r="E57" i="48"/>
  <c r="B57" i="48"/>
  <c r="E56" i="48"/>
  <c r="B56" i="48"/>
  <c r="B55" i="48"/>
  <c r="B54" i="48"/>
  <c r="B53" i="48"/>
  <c r="B52" i="48"/>
  <c r="E51" i="48"/>
  <c r="F51" i="48" s="1"/>
  <c r="B51" i="48"/>
  <c r="F50" i="48"/>
  <c r="B50" i="48"/>
  <c r="B49" i="48"/>
  <c r="B48" i="48"/>
  <c r="E47" i="48"/>
  <c r="B47" i="48"/>
  <c r="E46" i="48"/>
  <c r="B46" i="48"/>
  <c r="E45" i="48"/>
  <c r="B45" i="48"/>
  <c r="E44" i="48"/>
  <c r="B44" i="48"/>
  <c r="E43" i="48"/>
  <c r="B43" i="48"/>
  <c r="E42" i="48"/>
  <c r="B42" i="48"/>
  <c r="E41" i="48"/>
  <c r="B41" i="48"/>
  <c r="E40" i="48"/>
  <c r="B40" i="48"/>
  <c r="E39" i="48"/>
  <c r="B39" i="48"/>
  <c r="E38" i="48"/>
  <c r="B38" i="48"/>
  <c r="E37" i="48"/>
  <c r="B37" i="48"/>
  <c r="F36" i="48"/>
  <c r="B36" i="48"/>
  <c r="B35" i="48"/>
  <c r="B34" i="48"/>
  <c r="B33" i="48"/>
  <c r="B32" i="48"/>
  <c r="B31" i="48"/>
  <c r="B30" i="48"/>
  <c r="B29" i="48"/>
  <c r="B28" i="48"/>
  <c r="B27" i="48"/>
  <c r="B17" i="48"/>
  <c r="B16" i="48"/>
  <c r="B15" i="48"/>
  <c r="B14" i="48"/>
  <c r="B13" i="48"/>
  <c r="B12" i="48"/>
  <c r="B11" i="48"/>
  <c r="B10" i="48"/>
  <c r="B9" i="48"/>
  <c r="D8" i="48"/>
  <c r="B8" i="48"/>
  <c r="B7" i="48"/>
  <c r="B6" i="48"/>
  <c r="B5" i="48"/>
  <c r="B4" i="48"/>
  <c r="B3" i="48"/>
  <c r="B2" i="48"/>
  <c r="H337" i="48" l="1"/>
  <c r="C2" i="48"/>
  <c r="F242" i="45"/>
  <c r="F242" i="31"/>
  <c r="F242" i="44"/>
  <c r="F242" i="30"/>
  <c r="F242" i="40"/>
  <c r="F242" i="32"/>
  <c r="F242" i="41"/>
  <c r="F242" i="36"/>
  <c r="F242" i="38"/>
  <c r="F242" i="1"/>
  <c r="F242" i="39"/>
  <c r="F246" i="41"/>
  <c r="F246" i="1"/>
  <c r="F246" i="38"/>
  <c r="F246" i="36"/>
  <c r="F246" i="39"/>
  <c r="F246" i="45"/>
  <c r="F246" i="31"/>
  <c r="F246" i="44"/>
  <c r="F246" i="30"/>
  <c r="F246" i="40"/>
  <c r="F246" i="32"/>
  <c r="F37" i="39"/>
  <c r="F37" i="1"/>
  <c r="F37" i="40"/>
  <c r="F37" i="30"/>
  <c r="F37" i="38"/>
  <c r="F37" i="36"/>
  <c r="F37" i="41"/>
  <c r="F37" i="32"/>
  <c r="F37" i="44"/>
  <c r="F37" i="31"/>
  <c r="F37" i="45"/>
  <c r="F40" i="36"/>
  <c r="F40" i="1"/>
  <c r="F40" i="39"/>
  <c r="F40" i="45"/>
  <c r="F40" i="32"/>
  <c r="F40" i="44"/>
  <c r="F40" i="31"/>
  <c r="F40" i="41"/>
  <c r="F40" i="38"/>
  <c r="F40" i="40"/>
  <c r="F40" i="30"/>
  <c r="F257" i="40"/>
  <c r="F257" i="32"/>
  <c r="F257" i="39"/>
  <c r="F257" i="30"/>
  <c r="F257" i="38"/>
  <c r="F257" i="45"/>
  <c r="F257" i="36"/>
  <c r="F257" i="41"/>
  <c r="F257" i="31"/>
  <c r="F257" i="44"/>
  <c r="F257" i="1"/>
  <c r="F259" i="40"/>
  <c r="F259" i="30"/>
  <c r="F259" i="39"/>
  <c r="F259" i="1"/>
  <c r="F259" i="38"/>
  <c r="F259" i="36"/>
  <c r="F259" i="45"/>
  <c r="F259" i="41"/>
  <c r="F259" i="31"/>
  <c r="F259" i="44"/>
  <c r="F259" i="32"/>
  <c r="F39" i="45"/>
  <c r="F39" i="36"/>
  <c r="F39" i="41"/>
  <c r="F39" i="44"/>
  <c r="F39" i="31"/>
  <c r="F39" i="39"/>
  <c r="F39" i="1"/>
  <c r="F39" i="40"/>
  <c r="F39" i="30"/>
  <c r="F39" i="38"/>
  <c r="F39" i="32"/>
  <c r="F245" i="38"/>
  <c r="F245" i="44"/>
  <c r="F245" i="36"/>
  <c r="F245" i="45"/>
  <c r="F245" i="30"/>
  <c r="F245" i="41"/>
  <c r="F245" i="32"/>
  <c r="F245" i="40"/>
  <c r="F245" i="31"/>
  <c r="F245" i="39"/>
  <c r="F245" i="1"/>
  <c r="F247" i="41"/>
  <c r="F247" i="31"/>
  <c r="F247" i="45"/>
  <c r="F247" i="30"/>
  <c r="F247" i="40"/>
  <c r="F247" i="32"/>
  <c r="F247" i="39"/>
  <c r="F247" i="1"/>
  <c r="F247" i="38"/>
  <c r="F247" i="44"/>
  <c r="F247" i="36"/>
  <c r="F244" i="40"/>
  <c r="F244" i="32"/>
  <c r="F244" i="41"/>
  <c r="F244" i="36"/>
  <c r="F244" i="38"/>
  <c r="F244" i="1"/>
  <c r="F244" i="39"/>
  <c r="F244" i="45"/>
  <c r="F244" i="31"/>
  <c r="F244" i="44"/>
  <c r="F244" i="30"/>
  <c r="F38" i="44"/>
  <c r="F38" i="31"/>
  <c r="F38" i="41"/>
  <c r="F38" i="38"/>
  <c r="F38" i="40"/>
  <c r="F38" i="30"/>
  <c r="F38" i="36"/>
  <c r="F38" i="1"/>
  <c r="F38" i="39"/>
  <c r="F38" i="45"/>
  <c r="F38" i="32"/>
  <c r="F41" i="41"/>
  <c r="F41" i="36"/>
  <c r="F41" i="44"/>
  <c r="F41" i="31"/>
  <c r="F41" i="39"/>
  <c r="F41" i="1"/>
  <c r="F41" i="40"/>
  <c r="F41" i="30"/>
  <c r="F41" i="38"/>
  <c r="F41" i="45"/>
  <c r="F41" i="32"/>
  <c r="F241" i="38"/>
  <c r="F241" i="44"/>
  <c r="F241" i="36"/>
  <c r="F241" i="41"/>
  <c r="F241" i="31"/>
  <c r="F241" i="30"/>
  <c r="F241" i="40"/>
  <c r="F241" i="45"/>
  <c r="F241" i="32"/>
  <c r="F241" i="39"/>
  <c r="F241" i="1"/>
  <c r="F42" i="36"/>
  <c r="F42" i="41"/>
  <c r="F42" i="38"/>
  <c r="F42" i="40"/>
  <c r="F42" i="1"/>
  <c r="F42" i="32"/>
  <c r="F42" i="30"/>
  <c r="F42" i="45"/>
  <c r="F42" i="31"/>
  <c r="F42" i="44"/>
  <c r="F42" i="39"/>
  <c r="F244" i="48"/>
  <c r="F246" i="48"/>
  <c r="F258" i="38"/>
  <c r="F258" i="45"/>
  <c r="F258" i="31"/>
  <c r="F258" i="41"/>
  <c r="F258" i="36"/>
  <c r="F258" i="44"/>
  <c r="F258" i="32"/>
  <c r="F258" i="40"/>
  <c r="F258" i="30"/>
  <c r="F258" i="39"/>
  <c r="F258" i="1"/>
  <c r="F260" i="45"/>
  <c r="F260" i="31"/>
  <c r="F260" i="41"/>
  <c r="F260" i="36"/>
  <c r="F260" i="44"/>
  <c r="F260" i="32"/>
  <c r="F260" i="40"/>
  <c r="F260" i="30"/>
  <c r="F260" i="39"/>
  <c r="F260" i="1"/>
  <c r="F260" i="38"/>
  <c r="D55" i="48"/>
  <c r="D66" i="48"/>
  <c r="D71" i="48"/>
  <c r="D77" i="48"/>
  <c r="D83" i="48"/>
  <c r="D93" i="48"/>
  <c r="D99" i="48"/>
  <c r="D104" i="48"/>
  <c r="D110" i="48"/>
  <c r="D116" i="48"/>
  <c r="D122" i="48"/>
  <c r="D128" i="48"/>
  <c r="D133" i="48"/>
  <c r="D139" i="48"/>
  <c r="D150" i="48"/>
  <c r="D156" i="48"/>
  <c r="D162" i="48"/>
  <c r="D173" i="48"/>
  <c r="D179" i="48"/>
  <c r="D184" i="48"/>
  <c r="D190" i="48"/>
  <c r="D196" i="48"/>
  <c r="F196" i="48" s="1"/>
  <c r="D201" i="48"/>
  <c r="F201" i="48" s="1"/>
  <c r="D207" i="48"/>
  <c r="D218" i="48"/>
  <c r="D224" i="48"/>
  <c r="D230" i="48"/>
  <c r="D235" i="48"/>
  <c r="D142" i="48"/>
  <c r="D165" i="48"/>
  <c r="D187" i="48"/>
  <c r="D204" i="48"/>
  <c r="F204" i="48" s="1"/>
  <c r="D215" i="48"/>
  <c r="D232" i="48"/>
  <c r="D114" i="48"/>
  <c r="D148" i="48"/>
  <c r="D171" i="48"/>
  <c r="D194" i="48"/>
  <c r="D205" i="48"/>
  <c r="D222" i="48"/>
  <c r="D233" i="48"/>
  <c r="D56" i="48"/>
  <c r="D61" i="48"/>
  <c r="D67" i="48"/>
  <c r="D72" i="48"/>
  <c r="D78" i="48"/>
  <c r="D84" i="48"/>
  <c r="D94" i="48"/>
  <c r="D105" i="48"/>
  <c r="D111" i="48"/>
  <c r="D117" i="48"/>
  <c r="D123" i="48"/>
  <c r="F123" i="48" s="1"/>
  <c r="D129" i="48"/>
  <c r="D134" i="48"/>
  <c r="F134" i="48" s="1"/>
  <c r="D140" i="48"/>
  <c r="D145" i="48"/>
  <c r="D151" i="48"/>
  <c r="D157" i="48"/>
  <c r="D163" i="48"/>
  <c r="D168" i="48"/>
  <c r="D174" i="48"/>
  <c r="D180" i="48"/>
  <c r="D185" i="48"/>
  <c r="D191" i="48"/>
  <c r="D197" i="48"/>
  <c r="F197" i="48" s="1"/>
  <c r="D202" i="48"/>
  <c r="F202" i="48" s="1"/>
  <c r="D208" i="48"/>
  <c r="D213" i="48"/>
  <c r="D219" i="48"/>
  <c r="D225" i="48"/>
  <c r="D136" i="48"/>
  <c r="F136" i="48" s="1"/>
  <c r="D159" i="48"/>
  <c r="D221" i="48"/>
  <c r="D53" i="48"/>
  <c r="D75" i="48"/>
  <c r="D91" i="48"/>
  <c r="D102" i="48"/>
  <c r="D120" i="48"/>
  <c r="D131" i="48"/>
  <c r="F131" i="48" s="1"/>
  <c r="D143" i="48"/>
  <c r="D160" i="48"/>
  <c r="D177" i="48"/>
  <c r="D188" i="48"/>
  <c r="D211" i="48"/>
  <c r="D216" i="48"/>
  <c r="D228" i="48"/>
  <c r="F228" i="48" s="1"/>
  <c r="D57" i="48"/>
  <c r="F57" i="48" s="1"/>
  <c r="D62" i="48"/>
  <c r="D68" i="48"/>
  <c r="D73" i="48"/>
  <c r="D79" i="48"/>
  <c r="D89" i="48"/>
  <c r="D95" i="48"/>
  <c r="D100" i="48"/>
  <c r="D106" i="48"/>
  <c r="D112" i="48"/>
  <c r="D118" i="48"/>
  <c r="D124" i="48"/>
  <c r="F124" i="48" s="1"/>
  <c r="D130" i="48"/>
  <c r="F130" i="48" s="1"/>
  <c r="D135" i="48"/>
  <c r="F135" i="48" s="1"/>
  <c r="D141" i="48"/>
  <c r="D146" i="48"/>
  <c r="D152" i="48"/>
  <c r="D158" i="48"/>
  <c r="D164" i="48"/>
  <c r="D169" i="48"/>
  <c r="D175" i="48"/>
  <c r="D181" i="48"/>
  <c r="D186" i="48"/>
  <c r="D192" i="48"/>
  <c r="D198" i="48"/>
  <c r="F198" i="48" s="1"/>
  <c r="D203" i="48"/>
  <c r="F203" i="48" s="1"/>
  <c r="D209" i="48"/>
  <c r="D214" i="48"/>
  <c r="D220" i="48"/>
  <c r="D226" i="48"/>
  <c r="F226" i="48" s="1"/>
  <c r="D231" i="48"/>
  <c r="D52" i="48"/>
  <c r="D58" i="48"/>
  <c r="D63" i="48"/>
  <c r="D69" i="48"/>
  <c r="D74" i="48"/>
  <c r="D80" i="48"/>
  <c r="D90" i="48"/>
  <c r="D96" i="48"/>
  <c r="F96" i="48" s="1"/>
  <c r="D101" i="48"/>
  <c r="D107" i="48"/>
  <c r="D113" i="48"/>
  <c r="D119" i="48"/>
  <c r="F119" i="48" s="1"/>
  <c r="D125" i="48"/>
  <c r="D147" i="48"/>
  <c r="D153" i="48"/>
  <c r="D170" i="48"/>
  <c r="D176" i="48"/>
  <c r="D193" i="48"/>
  <c r="D199" i="48"/>
  <c r="F199" i="48" s="1"/>
  <c r="D210" i="48"/>
  <c r="D227" i="48"/>
  <c r="D59" i="48"/>
  <c r="D64" i="48"/>
  <c r="D81" i="48"/>
  <c r="D97" i="48"/>
  <c r="D108" i="48"/>
  <c r="D126" i="48"/>
  <c r="D137" i="48"/>
  <c r="F137" i="48" s="1"/>
  <c r="D154" i="48"/>
  <c r="D166" i="48"/>
  <c r="D182" i="48"/>
  <c r="D76" i="48"/>
  <c r="D155" i="48"/>
  <c r="D183" i="48"/>
  <c r="D92" i="48"/>
  <c r="D200" i="48"/>
  <c r="F200" i="48" s="1"/>
  <c r="D127" i="48"/>
  <c r="D206" i="48"/>
  <c r="D54" i="48"/>
  <c r="D82" i="48"/>
  <c r="D103" i="48"/>
  <c r="D132" i="48"/>
  <c r="D161" i="48"/>
  <c r="D189" i="48"/>
  <c r="D217" i="48"/>
  <c r="D178" i="48"/>
  <c r="D98" i="48"/>
  <c r="D109" i="48"/>
  <c r="D138" i="48"/>
  <c r="F138" i="48" s="1"/>
  <c r="D195" i="48"/>
  <c r="D223" i="48"/>
  <c r="D70" i="48"/>
  <c r="D149" i="48"/>
  <c r="D234" i="48"/>
  <c r="D65" i="48"/>
  <c r="D115" i="48"/>
  <c r="D144" i="48"/>
  <c r="D172" i="48"/>
  <c r="D229" i="48"/>
  <c r="F229" i="48" s="1"/>
  <c r="D121" i="48"/>
  <c r="D88" i="48"/>
  <c r="D212" i="48"/>
  <c r="D167" i="48"/>
  <c r="D60" i="48"/>
  <c r="D85" i="48"/>
  <c r="D330" i="48"/>
  <c r="D236" i="48"/>
  <c r="N231" i="46"/>
  <c r="N231" i="47"/>
  <c r="N48" i="46"/>
  <c r="N48" i="47"/>
  <c r="N15" i="46"/>
  <c r="N15" i="47"/>
  <c r="N13" i="46"/>
  <c r="N13" i="47"/>
  <c r="N16" i="46"/>
  <c r="N16" i="47"/>
  <c r="N11" i="46"/>
  <c r="N11" i="47"/>
  <c r="D16" i="48"/>
  <c r="D14" i="48"/>
  <c r="N14" i="46"/>
  <c r="N14" i="47"/>
  <c r="N12" i="46"/>
  <c r="N12" i="47"/>
  <c r="D17" i="48"/>
  <c r="N17" i="46"/>
  <c r="N336" i="46"/>
  <c r="N322" i="46"/>
  <c r="N315" i="46"/>
  <c r="N315" i="47"/>
  <c r="N294" i="46"/>
  <c r="N294" i="47"/>
  <c r="N273" i="46"/>
  <c r="N273" i="47"/>
  <c r="N261" i="46"/>
  <c r="N261" i="47"/>
  <c r="N248" i="46"/>
  <c r="N248" i="47"/>
  <c r="N239" i="46"/>
  <c r="N239" i="47"/>
  <c r="N212" i="46"/>
  <c r="N212" i="47"/>
  <c r="N200" i="46"/>
  <c r="N200" i="47"/>
  <c r="N182" i="46"/>
  <c r="N182" i="47"/>
  <c r="N167" i="46"/>
  <c r="N167" i="47"/>
  <c r="N145" i="46"/>
  <c r="N145" i="47"/>
  <c r="N131" i="46"/>
  <c r="N131" i="47"/>
  <c r="N100" i="47"/>
  <c r="N100" i="46"/>
  <c r="N88" i="46"/>
  <c r="N88" i="47"/>
  <c r="N70" i="46"/>
  <c r="N70" i="47"/>
  <c r="N52" i="46"/>
  <c r="N52" i="47"/>
  <c r="N28" i="47"/>
  <c r="N28" i="46"/>
  <c r="N27" i="47"/>
  <c r="N9" i="46"/>
  <c r="N9" i="47"/>
  <c r="N8" i="46"/>
  <c r="N8" i="47"/>
  <c r="N7" i="46"/>
  <c r="N7" i="47"/>
  <c r="N6" i="46"/>
  <c r="N6" i="47"/>
  <c r="N3" i="46"/>
  <c r="N3" i="47"/>
  <c r="N5" i="46"/>
  <c r="N5" i="47"/>
  <c r="N10" i="46"/>
  <c r="N10" i="47"/>
  <c r="N4" i="46"/>
  <c r="N4" i="47"/>
  <c r="N236" i="46"/>
  <c r="F41" i="48"/>
  <c r="F45" i="48"/>
  <c r="F44" i="48"/>
  <c r="F43" i="48"/>
  <c r="F47" i="48"/>
  <c r="F38" i="48"/>
  <c r="F42" i="48"/>
  <c r="F46" i="48"/>
  <c r="C331" i="48"/>
  <c r="C335" i="48" s="1"/>
  <c r="C361" i="48" s="1"/>
  <c r="D15" i="48" l="1"/>
  <c r="D13" i="48"/>
  <c r="N340" i="46"/>
  <c r="F236" i="44"/>
  <c r="F236" i="31"/>
  <c r="F236" i="45"/>
  <c r="F236" i="36"/>
  <c r="F236" i="40"/>
  <c r="F236" i="30"/>
  <c r="F236" i="41"/>
  <c r="F236" i="32"/>
  <c r="F236" i="38"/>
  <c r="F236" i="1"/>
  <c r="F236" i="39"/>
  <c r="F78" i="45"/>
  <c r="F78" i="40"/>
  <c r="F78" i="36"/>
  <c r="F78" i="39"/>
  <c r="F78" i="31"/>
  <c r="F78" i="32"/>
  <c r="F78" i="44"/>
  <c r="F78" i="41"/>
  <c r="F78" i="38"/>
  <c r="F78" i="30"/>
  <c r="F78" i="1"/>
  <c r="F232" i="48"/>
  <c r="F232" i="39"/>
  <c r="F232" i="32"/>
  <c r="F232" i="38"/>
  <c r="F232" i="41"/>
  <c r="F232" i="45"/>
  <c r="F232" i="36"/>
  <c r="F232" i="44"/>
  <c r="F232" i="31"/>
  <c r="F232" i="40"/>
  <c r="F232" i="30"/>
  <c r="F232" i="1"/>
  <c r="F235" i="39"/>
  <c r="F235" i="32"/>
  <c r="F235" i="38"/>
  <c r="F235" i="1"/>
  <c r="F235" i="45"/>
  <c r="F235" i="44"/>
  <c r="F235" i="36"/>
  <c r="F235" i="40"/>
  <c r="F235" i="31"/>
  <c r="F235" i="41"/>
  <c r="F235" i="30"/>
  <c r="F233" i="48"/>
  <c r="F233" i="40"/>
  <c r="F233" i="30"/>
  <c r="F233" i="44"/>
  <c r="F233" i="32"/>
  <c r="F233" i="38"/>
  <c r="F233" i="39"/>
  <c r="F233" i="1"/>
  <c r="F233" i="45"/>
  <c r="F233" i="31"/>
  <c r="F233" i="41"/>
  <c r="F233" i="36"/>
  <c r="F330" i="45"/>
  <c r="F330" i="38"/>
  <c r="F330" i="31"/>
  <c r="F330" i="30"/>
  <c r="F330" i="36"/>
  <c r="F330" i="44"/>
  <c r="F330" i="41"/>
  <c r="F330" i="32"/>
  <c r="F330" i="40"/>
  <c r="F330" i="1"/>
  <c r="F330" i="39"/>
  <c r="F234" i="48"/>
  <c r="F234" i="45"/>
  <c r="F234" i="31"/>
  <c r="F234" i="41"/>
  <c r="F234" i="36"/>
  <c r="F234" i="44"/>
  <c r="F234" i="30"/>
  <c r="F234" i="39"/>
  <c r="F234" i="32"/>
  <c r="F234" i="38"/>
  <c r="F234" i="1"/>
  <c r="F234" i="40"/>
  <c r="F231" i="48"/>
  <c r="F231" i="45"/>
  <c r="F231" i="41"/>
  <c r="F231" i="32"/>
  <c r="F231" i="1"/>
  <c r="F231" i="44"/>
  <c r="F231" i="31"/>
  <c r="F231" i="39"/>
  <c r="F231" i="30"/>
  <c r="F231" i="40"/>
  <c r="F231" i="38"/>
  <c r="F231" i="36"/>
  <c r="F230" i="48"/>
  <c r="F230" i="40"/>
  <c r="F230" i="30"/>
  <c r="F230" i="41"/>
  <c r="F230" i="32"/>
  <c r="F230" i="38"/>
  <c r="F230" i="1"/>
  <c r="F230" i="39"/>
  <c r="F230" i="45"/>
  <c r="F230" i="31"/>
  <c r="F230" i="44"/>
  <c r="F230" i="36"/>
  <c r="F208" i="45"/>
  <c r="F208" i="41"/>
  <c r="F208" i="40"/>
  <c r="F208" i="44"/>
  <c r="F208" i="38"/>
  <c r="F208" i="39"/>
  <c r="F208" i="31"/>
  <c r="F208" i="32"/>
  <c r="F208" i="30"/>
  <c r="F208" i="36"/>
  <c r="F208" i="1"/>
  <c r="F153" i="48"/>
  <c r="F144" i="45"/>
  <c r="F144" i="44"/>
  <c r="F144" i="41"/>
  <c r="F144" i="40"/>
  <c r="F144" i="39"/>
  <c r="F144" i="38"/>
  <c r="F144" i="36"/>
  <c r="F144" i="32"/>
  <c r="F144" i="31"/>
  <c r="F144" i="30"/>
  <c r="F144" i="1"/>
  <c r="F214" i="48"/>
  <c r="F205" i="45"/>
  <c r="F205" i="44"/>
  <c r="F205" i="41"/>
  <c r="F205" i="40"/>
  <c r="F205" i="38"/>
  <c r="F205" i="39"/>
  <c r="F205" i="31"/>
  <c r="F205" i="36"/>
  <c r="F205" i="32"/>
  <c r="F205" i="1"/>
  <c r="F205" i="30"/>
  <c r="F103" i="44"/>
  <c r="F103" i="45"/>
  <c r="F103" i="41"/>
  <c r="F103" i="40"/>
  <c r="F103" i="39"/>
  <c r="F103" i="36"/>
  <c r="F103" i="31"/>
  <c r="F103" i="38"/>
  <c r="F103" i="32"/>
  <c r="F103" i="1"/>
  <c r="F103" i="30"/>
  <c r="F211" i="48"/>
  <c r="F202" i="45"/>
  <c r="F202" i="41"/>
  <c r="F202" i="40"/>
  <c r="F202" i="38"/>
  <c r="F202" i="39"/>
  <c r="F202" i="44"/>
  <c r="F202" i="31"/>
  <c r="F202" i="36"/>
  <c r="F202" i="32"/>
  <c r="F202" i="30"/>
  <c r="F202" i="1"/>
  <c r="F159" i="48"/>
  <c r="F150" i="44"/>
  <c r="F150" i="45"/>
  <c r="F150" i="41"/>
  <c r="F150" i="40"/>
  <c r="F150" i="38"/>
  <c r="F150" i="39"/>
  <c r="F150" i="36"/>
  <c r="F150" i="31"/>
  <c r="F150" i="32"/>
  <c r="F150" i="30"/>
  <c r="F150" i="1"/>
  <c r="F168" i="48"/>
  <c r="F159" i="44"/>
  <c r="F159" i="45"/>
  <c r="F159" i="41"/>
  <c r="F159" i="40"/>
  <c r="F159" i="38"/>
  <c r="F159" i="39"/>
  <c r="F159" i="36"/>
  <c r="F159" i="31"/>
  <c r="F159" i="32"/>
  <c r="F159" i="1"/>
  <c r="F159" i="30"/>
  <c r="F94" i="48"/>
  <c r="F85" i="44"/>
  <c r="F85" i="41"/>
  <c r="F85" i="45"/>
  <c r="F85" i="39"/>
  <c r="F85" i="40"/>
  <c r="F85" i="38"/>
  <c r="F85" i="36"/>
  <c r="F85" i="31"/>
  <c r="F85" i="30"/>
  <c r="F85" i="32"/>
  <c r="F85" i="1"/>
  <c r="F56" i="48"/>
  <c r="F47" i="45"/>
  <c r="F47" i="41"/>
  <c r="F47" i="44"/>
  <c r="F47" i="39"/>
  <c r="F47" i="40"/>
  <c r="F47" i="38"/>
  <c r="F47" i="36"/>
  <c r="F47" i="32"/>
  <c r="F47" i="31"/>
  <c r="F47" i="1"/>
  <c r="F47" i="30"/>
  <c r="F148" i="48"/>
  <c r="F139" i="45"/>
  <c r="F139" i="44"/>
  <c r="F139" i="41"/>
  <c r="F139" i="40"/>
  <c r="F139" i="39"/>
  <c r="F139" i="31"/>
  <c r="F139" i="38"/>
  <c r="F139" i="36"/>
  <c r="F139" i="32"/>
  <c r="F139" i="1"/>
  <c r="F139" i="30"/>
  <c r="F165" i="48"/>
  <c r="F156" i="44"/>
  <c r="F156" i="45"/>
  <c r="F156" i="41"/>
  <c r="F156" i="40"/>
  <c r="F156" i="38"/>
  <c r="F156" i="36"/>
  <c r="F156" i="31"/>
  <c r="F156" i="39"/>
  <c r="F156" i="32"/>
  <c r="F156" i="1"/>
  <c r="F156" i="30"/>
  <c r="F93" i="48"/>
  <c r="F84" i="45"/>
  <c r="F84" i="44"/>
  <c r="F84" i="39"/>
  <c r="F84" i="40"/>
  <c r="F84" i="38"/>
  <c r="F84" i="41"/>
  <c r="F84" i="36"/>
  <c r="F84" i="31"/>
  <c r="F84" i="32"/>
  <c r="F84" i="1"/>
  <c r="F84" i="30"/>
  <c r="F212" i="48"/>
  <c r="F203" i="45"/>
  <c r="F203" i="44"/>
  <c r="F203" i="41"/>
  <c r="F203" i="40"/>
  <c r="F203" i="39"/>
  <c r="F203" i="38"/>
  <c r="F203" i="31"/>
  <c r="F203" i="36"/>
  <c r="F203" i="32"/>
  <c r="F203" i="30"/>
  <c r="F203" i="1"/>
  <c r="F106" i="44"/>
  <c r="F106" i="45"/>
  <c r="F106" i="41"/>
  <c r="F106" i="40"/>
  <c r="F106" i="39"/>
  <c r="F106" i="36"/>
  <c r="F106" i="31"/>
  <c r="F106" i="38"/>
  <c r="F106" i="32"/>
  <c r="F106" i="1"/>
  <c r="F106" i="30"/>
  <c r="F180" i="44"/>
  <c r="F180" i="45"/>
  <c r="F180" i="41"/>
  <c r="F180" i="40"/>
  <c r="F180" i="38"/>
  <c r="F180" i="36"/>
  <c r="F180" i="31"/>
  <c r="F180" i="39"/>
  <c r="F180" i="30"/>
  <c r="F180" i="32"/>
  <c r="F180" i="1"/>
  <c r="F206" i="48"/>
  <c r="F197" i="45"/>
  <c r="F197" i="44"/>
  <c r="F197" i="41"/>
  <c r="F197" i="40"/>
  <c r="F197" i="38"/>
  <c r="F197" i="39"/>
  <c r="F197" i="36"/>
  <c r="F197" i="31"/>
  <c r="F197" i="32"/>
  <c r="F197" i="30"/>
  <c r="F197" i="1"/>
  <c r="F76" i="48"/>
  <c r="F67" i="45"/>
  <c r="F67" i="44"/>
  <c r="F67" i="39"/>
  <c r="F67" i="41"/>
  <c r="F67" i="40"/>
  <c r="F67" i="31"/>
  <c r="F67" i="36"/>
  <c r="F67" i="32"/>
  <c r="F67" i="1"/>
  <c r="F67" i="30"/>
  <c r="F67" i="38"/>
  <c r="F108" i="48"/>
  <c r="F99" i="45"/>
  <c r="F99" i="41"/>
  <c r="F99" i="44"/>
  <c r="F99" i="39"/>
  <c r="F99" i="40"/>
  <c r="F99" i="38"/>
  <c r="F99" i="31"/>
  <c r="F99" i="36"/>
  <c r="F99" i="32"/>
  <c r="F99" i="1"/>
  <c r="F99" i="30"/>
  <c r="F210" i="48"/>
  <c r="F201" i="44"/>
  <c r="F201" i="45"/>
  <c r="F201" i="41"/>
  <c r="F201" i="40"/>
  <c r="F201" i="39"/>
  <c r="F201" i="38"/>
  <c r="F201" i="36"/>
  <c r="F201" i="32"/>
  <c r="F201" i="31"/>
  <c r="F201" i="30"/>
  <c r="F201" i="1"/>
  <c r="F147" i="48"/>
  <c r="F138" i="44"/>
  <c r="F138" i="45"/>
  <c r="F138" i="41"/>
  <c r="F138" i="40"/>
  <c r="F138" i="38"/>
  <c r="F138" i="36"/>
  <c r="F138" i="39"/>
  <c r="F138" i="31"/>
  <c r="F138" i="32"/>
  <c r="F138" i="30"/>
  <c r="F138" i="1"/>
  <c r="F58" i="48"/>
  <c r="F49" i="44"/>
  <c r="F49" i="45"/>
  <c r="F49" i="41"/>
  <c r="F49" i="39"/>
  <c r="F49" i="40"/>
  <c r="F49" i="38"/>
  <c r="F49" i="36"/>
  <c r="F49" i="32"/>
  <c r="F49" i="31"/>
  <c r="F49" i="1"/>
  <c r="F49" i="30"/>
  <c r="F200" i="44"/>
  <c r="F200" i="45"/>
  <c r="F200" i="41"/>
  <c r="F200" i="40"/>
  <c r="F200" i="38"/>
  <c r="F200" i="39"/>
  <c r="F200" i="36"/>
  <c r="F200" i="31"/>
  <c r="F200" i="30"/>
  <c r="F200" i="32"/>
  <c r="F200" i="1"/>
  <c r="F175" i="48"/>
  <c r="F166" i="44"/>
  <c r="F166" i="45"/>
  <c r="F166" i="41"/>
  <c r="F166" i="40"/>
  <c r="F166" i="39"/>
  <c r="F166" i="38"/>
  <c r="F166" i="36"/>
  <c r="F166" i="31"/>
  <c r="F166" i="30"/>
  <c r="F166" i="32"/>
  <c r="F166" i="1"/>
  <c r="F141" i="48"/>
  <c r="F132" i="44"/>
  <c r="F132" i="45"/>
  <c r="F132" i="41"/>
  <c r="F132" i="40"/>
  <c r="F132" i="36"/>
  <c r="F132" i="38"/>
  <c r="F132" i="39"/>
  <c r="F132" i="31"/>
  <c r="F132" i="30"/>
  <c r="F132" i="32"/>
  <c r="F132" i="1"/>
  <c r="F106" i="48"/>
  <c r="F97" i="44"/>
  <c r="F97" i="45"/>
  <c r="F97" i="41"/>
  <c r="F97" i="40"/>
  <c r="F97" i="39"/>
  <c r="F97" i="36"/>
  <c r="F97" i="38"/>
  <c r="F97" i="31"/>
  <c r="F97" i="32"/>
  <c r="F97" i="30"/>
  <c r="F97" i="1"/>
  <c r="F68" i="48"/>
  <c r="F59" i="45"/>
  <c r="F59" i="41"/>
  <c r="F59" i="44"/>
  <c r="F59" i="39"/>
  <c r="F59" i="40"/>
  <c r="F59" i="38"/>
  <c r="F59" i="31"/>
  <c r="F59" i="36"/>
  <c r="F59" i="32"/>
  <c r="F59" i="1"/>
  <c r="F59" i="30"/>
  <c r="F179" i="45"/>
  <c r="F179" i="44"/>
  <c r="F179" i="41"/>
  <c r="F179" i="40"/>
  <c r="F179" i="39"/>
  <c r="F179" i="38"/>
  <c r="F179" i="36"/>
  <c r="F179" i="32"/>
  <c r="F179" i="1"/>
  <c r="F179" i="30"/>
  <c r="F179" i="31"/>
  <c r="F102" i="48"/>
  <c r="F93" i="45"/>
  <c r="F93" i="44"/>
  <c r="F93" i="39"/>
  <c r="F93" i="40"/>
  <c r="F93" i="41"/>
  <c r="F93" i="31"/>
  <c r="F93" i="36"/>
  <c r="F93" i="38"/>
  <c r="F93" i="32"/>
  <c r="F93" i="1"/>
  <c r="F93" i="30"/>
  <c r="F163" i="48"/>
  <c r="F154" i="45"/>
  <c r="F154" i="44"/>
  <c r="F154" i="41"/>
  <c r="F154" i="40"/>
  <c r="F154" i="38"/>
  <c r="F154" i="39"/>
  <c r="F154" i="36"/>
  <c r="F154" i="31"/>
  <c r="F154" i="32"/>
  <c r="F154" i="1"/>
  <c r="F154" i="30"/>
  <c r="F84" i="48"/>
  <c r="F75" i="45"/>
  <c r="F75" i="44"/>
  <c r="F75" i="41"/>
  <c r="F75" i="40"/>
  <c r="F75" i="39"/>
  <c r="F75" i="38"/>
  <c r="F75" i="32"/>
  <c r="F75" i="36"/>
  <c r="F75" i="30"/>
  <c r="F75" i="31"/>
  <c r="F75" i="1"/>
  <c r="F105" i="45"/>
  <c r="F105" i="44"/>
  <c r="F105" i="41"/>
  <c r="F105" i="40"/>
  <c r="F105" i="38"/>
  <c r="F105" i="39"/>
  <c r="F105" i="36"/>
  <c r="F105" i="32"/>
  <c r="F105" i="31"/>
  <c r="F105" i="30"/>
  <c r="F105" i="1"/>
  <c r="F142" i="48"/>
  <c r="F133" i="45"/>
  <c r="F133" i="41"/>
  <c r="F133" i="40"/>
  <c r="F133" i="44"/>
  <c r="F133" i="39"/>
  <c r="F133" i="38"/>
  <c r="F133" i="31"/>
  <c r="F133" i="32"/>
  <c r="F133" i="36"/>
  <c r="F133" i="1"/>
  <c r="F133" i="30"/>
  <c r="F162" i="48"/>
  <c r="F153" i="44"/>
  <c r="F153" i="45"/>
  <c r="F153" i="41"/>
  <c r="F153" i="40"/>
  <c r="F153" i="38"/>
  <c r="F153" i="39"/>
  <c r="F153" i="36"/>
  <c r="F153" i="31"/>
  <c r="F153" i="32"/>
  <c r="F153" i="1"/>
  <c r="F153" i="30"/>
  <c r="F83" i="48"/>
  <c r="F74" i="45"/>
  <c r="F74" i="41"/>
  <c r="F74" i="44"/>
  <c r="F74" i="39"/>
  <c r="F74" i="40"/>
  <c r="F74" i="36"/>
  <c r="F74" i="31"/>
  <c r="F74" i="38"/>
  <c r="F74" i="32"/>
  <c r="F74" i="1"/>
  <c r="F74" i="30"/>
  <c r="F54" i="48"/>
  <c r="F45" i="45"/>
  <c r="F45" i="44"/>
  <c r="F45" i="41"/>
  <c r="F45" i="39"/>
  <c r="F45" i="40"/>
  <c r="F45" i="38"/>
  <c r="F45" i="36"/>
  <c r="F45" i="32"/>
  <c r="F45" i="31"/>
  <c r="F45" i="1"/>
  <c r="F45" i="30"/>
  <c r="F88" i="48"/>
  <c r="F79" i="45"/>
  <c r="F79" i="41"/>
  <c r="F79" i="44"/>
  <c r="F79" i="39"/>
  <c r="F79" i="40"/>
  <c r="F79" i="36"/>
  <c r="F79" i="31"/>
  <c r="F79" i="32"/>
  <c r="F79" i="38"/>
  <c r="F79" i="1"/>
  <c r="F79" i="30"/>
  <c r="F65" i="48"/>
  <c r="F56" i="44"/>
  <c r="F56" i="45"/>
  <c r="F56" i="41"/>
  <c r="F56" i="39"/>
  <c r="F56" i="40"/>
  <c r="F56" i="38"/>
  <c r="F56" i="31"/>
  <c r="F56" i="36"/>
  <c r="F56" i="32"/>
  <c r="F56" i="30"/>
  <c r="F56" i="1"/>
  <c r="F161" i="48"/>
  <c r="F152" i="45"/>
  <c r="F152" i="44"/>
  <c r="F152" i="41"/>
  <c r="F152" i="40"/>
  <c r="F152" i="39"/>
  <c r="F152" i="38"/>
  <c r="F152" i="36"/>
  <c r="F152" i="32"/>
  <c r="F152" i="31"/>
  <c r="F152" i="30"/>
  <c r="F152" i="1"/>
  <c r="F182" i="48"/>
  <c r="F173" i="45"/>
  <c r="F173" i="44"/>
  <c r="F173" i="39"/>
  <c r="F173" i="41"/>
  <c r="F173" i="40"/>
  <c r="F173" i="38"/>
  <c r="F173" i="31"/>
  <c r="F173" i="36"/>
  <c r="F173" i="32"/>
  <c r="F173" i="1"/>
  <c r="F173" i="30"/>
  <c r="F97" i="48"/>
  <c r="F88" i="45"/>
  <c r="F88" i="41"/>
  <c r="F88" i="44"/>
  <c r="F88" i="39"/>
  <c r="F88" i="40"/>
  <c r="F88" i="36"/>
  <c r="F88" i="31"/>
  <c r="F88" i="38"/>
  <c r="F88" i="32"/>
  <c r="F88" i="1"/>
  <c r="F88" i="30"/>
  <c r="F90" i="48"/>
  <c r="F81" i="45"/>
  <c r="F81" i="41"/>
  <c r="F81" i="44"/>
  <c r="F81" i="39"/>
  <c r="F81" i="40"/>
  <c r="F81" i="36"/>
  <c r="F81" i="31"/>
  <c r="F81" i="32"/>
  <c r="F81" i="38"/>
  <c r="F81" i="1"/>
  <c r="F81" i="30"/>
  <c r="F52" i="48"/>
  <c r="F43" i="45"/>
  <c r="F43" i="44"/>
  <c r="F43" i="41"/>
  <c r="F43" i="39"/>
  <c r="F43" i="40"/>
  <c r="F43" i="38"/>
  <c r="F43" i="32"/>
  <c r="F43" i="31"/>
  <c r="F43" i="1"/>
  <c r="F43" i="30"/>
  <c r="F43" i="36"/>
  <c r="F169" i="48"/>
  <c r="F160" i="45"/>
  <c r="F160" i="44"/>
  <c r="F160" i="41"/>
  <c r="F160" i="40"/>
  <c r="F160" i="38"/>
  <c r="F160" i="39"/>
  <c r="F160" i="36"/>
  <c r="F160" i="31"/>
  <c r="F160" i="32"/>
  <c r="F160" i="1"/>
  <c r="F160" i="30"/>
  <c r="F100" i="48"/>
  <c r="F91" i="44"/>
  <c r="F91" i="45"/>
  <c r="F91" i="41"/>
  <c r="F91" i="39"/>
  <c r="F91" i="40"/>
  <c r="F91" i="36"/>
  <c r="F91" i="38"/>
  <c r="F91" i="31"/>
  <c r="F91" i="30"/>
  <c r="F91" i="32"/>
  <c r="F91" i="1"/>
  <c r="F62" i="48"/>
  <c r="F53" i="44"/>
  <c r="F53" i="45"/>
  <c r="F53" i="41"/>
  <c r="F53" i="39"/>
  <c r="F53" i="40"/>
  <c r="F53" i="36"/>
  <c r="F53" i="38"/>
  <c r="F53" i="31"/>
  <c r="F53" i="30"/>
  <c r="F53" i="32"/>
  <c r="F53" i="1"/>
  <c r="F177" i="48"/>
  <c r="F168" i="44"/>
  <c r="F168" i="45"/>
  <c r="F168" i="41"/>
  <c r="F168" i="40"/>
  <c r="F168" i="39"/>
  <c r="F168" i="38"/>
  <c r="F168" i="36"/>
  <c r="F168" i="31"/>
  <c r="F168" i="30"/>
  <c r="F168" i="32"/>
  <c r="F168" i="1"/>
  <c r="F91" i="48"/>
  <c r="F82" i="44"/>
  <c r="F82" i="45"/>
  <c r="F82" i="41"/>
  <c r="F82" i="39"/>
  <c r="F82" i="40"/>
  <c r="F82" i="38"/>
  <c r="F82" i="36"/>
  <c r="F82" i="31"/>
  <c r="F82" i="30"/>
  <c r="F82" i="32"/>
  <c r="F82" i="1"/>
  <c r="F182" i="45"/>
  <c r="F182" i="44"/>
  <c r="F182" i="39"/>
  <c r="F182" i="41"/>
  <c r="F182" i="40"/>
  <c r="F182" i="38"/>
  <c r="F182" i="31"/>
  <c r="F182" i="36"/>
  <c r="F182" i="32"/>
  <c r="F182" i="1"/>
  <c r="F182" i="30"/>
  <c r="F157" i="48"/>
  <c r="F148" i="45"/>
  <c r="F148" i="44"/>
  <c r="F148" i="41"/>
  <c r="F148" i="40"/>
  <c r="F148" i="38"/>
  <c r="F148" i="39"/>
  <c r="F148" i="36"/>
  <c r="F148" i="31"/>
  <c r="F148" i="32"/>
  <c r="F148" i="1"/>
  <c r="F148" i="30"/>
  <c r="F78" i="48"/>
  <c r="F69" i="45"/>
  <c r="F69" i="44"/>
  <c r="F69" i="39"/>
  <c r="F69" i="40"/>
  <c r="F69" i="41"/>
  <c r="F69" i="38"/>
  <c r="F69" i="31"/>
  <c r="F69" i="36"/>
  <c r="F69" i="32"/>
  <c r="F69" i="1"/>
  <c r="F69" i="30"/>
  <c r="F213" i="45"/>
  <c r="F213" i="44"/>
  <c r="F213" i="40"/>
  <c r="F213" i="41"/>
  <c r="F213" i="38"/>
  <c r="F213" i="39"/>
  <c r="F213" i="31"/>
  <c r="F213" i="30"/>
  <c r="F213" i="36"/>
  <c r="F213" i="32"/>
  <c r="F213" i="1"/>
  <c r="F235" i="48"/>
  <c r="F226" i="44"/>
  <c r="F226" i="40"/>
  <c r="F226" i="45"/>
  <c r="F226" i="39"/>
  <c r="F226" i="41"/>
  <c r="F226" i="38"/>
  <c r="F226" i="36"/>
  <c r="F226" i="31"/>
  <c r="F226" i="30"/>
  <c r="F226" i="32"/>
  <c r="F226" i="1"/>
  <c r="F156" i="48"/>
  <c r="F147" i="44"/>
  <c r="F147" i="45"/>
  <c r="F147" i="41"/>
  <c r="F147" i="40"/>
  <c r="F147" i="38"/>
  <c r="F147" i="36"/>
  <c r="F147" i="31"/>
  <c r="F147" i="39"/>
  <c r="F147" i="32"/>
  <c r="F147" i="30"/>
  <c r="F147" i="1"/>
  <c r="F107" i="45"/>
  <c r="F107" i="41"/>
  <c r="F107" i="40"/>
  <c r="F107" i="44"/>
  <c r="F107" i="39"/>
  <c r="F107" i="36"/>
  <c r="F107" i="31"/>
  <c r="F107" i="38"/>
  <c r="F107" i="32"/>
  <c r="F107" i="1"/>
  <c r="F107" i="30"/>
  <c r="F77" i="48"/>
  <c r="F68" i="44"/>
  <c r="F68" i="45"/>
  <c r="F68" i="41"/>
  <c r="F68" i="38"/>
  <c r="F68" i="39"/>
  <c r="F68" i="40"/>
  <c r="F68" i="36"/>
  <c r="F68" i="31"/>
  <c r="F68" i="32"/>
  <c r="F68" i="30"/>
  <c r="F68" i="1"/>
  <c r="F144" i="48"/>
  <c r="F135" i="44"/>
  <c r="F135" i="41"/>
  <c r="F135" i="40"/>
  <c r="F135" i="45"/>
  <c r="F135" i="39"/>
  <c r="F135" i="38"/>
  <c r="F135" i="36"/>
  <c r="F135" i="31"/>
  <c r="F135" i="30"/>
  <c r="F135" i="32"/>
  <c r="F135" i="1"/>
  <c r="F101" i="48"/>
  <c r="F92" i="45"/>
  <c r="F92" i="41"/>
  <c r="F92" i="44"/>
  <c r="F92" i="39"/>
  <c r="F92" i="40"/>
  <c r="F92" i="38"/>
  <c r="F92" i="31"/>
  <c r="F92" i="36"/>
  <c r="F92" i="32"/>
  <c r="F92" i="1"/>
  <c r="F92" i="30"/>
  <c r="F146" i="48"/>
  <c r="F137" i="45"/>
  <c r="F137" i="44"/>
  <c r="F137" i="39"/>
  <c r="F137" i="41"/>
  <c r="F137" i="40"/>
  <c r="F137" i="38"/>
  <c r="F137" i="31"/>
  <c r="F137" i="36"/>
  <c r="F137" i="32"/>
  <c r="F137" i="1"/>
  <c r="F137" i="30"/>
  <c r="F207" i="48"/>
  <c r="F198" i="45"/>
  <c r="F198" i="44"/>
  <c r="F198" i="38"/>
  <c r="F198" i="41"/>
  <c r="F198" i="40"/>
  <c r="F198" i="39"/>
  <c r="F198" i="36"/>
  <c r="F198" i="31"/>
  <c r="F198" i="32"/>
  <c r="F198" i="1"/>
  <c r="F198" i="30"/>
  <c r="F100" i="45"/>
  <c r="F100" i="44"/>
  <c r="F100" i="39"/>
  <c r="F100" i="41"/>
  <c r="F100" i="40"/>
  <c r="F100" i="31"/>
  <c r="F100" i="36"/>
  <c r="F100" i="38"/>
  <c r="F100" i="32"/>
  <c r="F100" i="1"/>
  <c r="F100" i="30"/>
  <c r="F132" i="48"/>
  <c r="F123" i="45"/>
  <c r="F123" i="41"/>
  <c r="F123" i="40"/>
  <c r="F123" i="44"/>
  <c r="F123" i="39"/>
  <c r="F123" i="36"/>
  <c r="F123" i="31"/>
  <c r="F123" i="38"/>
  <c r="F123" i="32"/>
  <c r="F123" i="1"/>
  <c r="F123" i="30"/>
  <c r="F166" i="48"/>
  <c r="F157" i="45"/>
  <c r="F157" i="44"/>
  <c r="F157" i="41"/>
  <c r="F157" i="40"/>
  <c r="F157" i="38"/>
  <c r="F157" i="39"/>
  <c r="F157" i="36"/>
  <c r="F157" i="31"/>
  <c r="F157" i="32"/>
  <c r="F157" i="1"/>
  <c r="F157" i="30"/>
  <c r="F81" i="48"/>
  <c r="F72" i="45"/>
  <c r="F72" i="44"/>
  <c r="F72" i="41"/>
  <c r="F72" i="40"/>
  <c r="F72" i="39"/>
  <c r="F72" i="38"/>
  <c r="F72" i="32"/>
  <c r="F72" i="36"/>
  <c r="F72" i="31"/>
  <c r="F72" i="30"/>
  <c r="F72" i="1"/>
  <c r="F184" i="45"/>
  <c r="F184" i="44"/>
  <c r="F184" i="41"/>
  <c r="F184" i="40"/>
  <c r="F184" i="38"/>
  <c r="F184" i="39"/>
  <c r="F184" i="32"/>
  <c r="F184" i="36"/>
  <c r="F184" i="31"/>
  <c r="F184" i="1"/>
  <c r="F184" i="30"/>
  <c r="F80" i="48"/>
  <c r="F71" i="45"/>
  <c r="F71" i="41"/>
  <c r="F71" i="39"/>
  <c r="F71" i="40"/>
  <c r="F71" i="44"/>
  <c r="F71" i="36"/>
  <c r="F71" i="31"/>
  <c r="F71" i="38"/>
  <c r="F71" i="32"/>
  <c r="F71" i="1"/>
  <c r="F71" i="30"/>
  <c r="F164" i="48"/>
  <c r="F155" i="45"/>
  <c r="F155" i="44"/>
  <c r="F155" i="41"/>
  <c r="F155" i="40"/>
  <c r="F155" i="38"/>
  <c r="F155" i="39"/>
  <c r="F155" i="32"/>
  <c r="F155" i="31"/>
  <c r="F155" i="36"/>
  <c r="F155" i="30"/>
  <c r="F155" i="1"/>
  <c r="F95" i="48"/>
  <c r="F160" i="48"/>
  <c r="F151" i="45"/>
  <c r="F151" i="44"/>
  <c r="F151" i="41"/>
  <c r="F151" i="40"/>
  <c r="F151" i="38"/>
  <c r="F151" i="39"/>
  <c r="F151" i="36"/>
  <c r="F151" i="31"/>
  <c r="F151" i="32"/>
  <c r="F151" i="1"/>
  <c r="F151" i="30"/>
  <c r="F75" i="48"/>
  <c r="F66" i="44"/>
  <c r="F66" i="45"/>
  <c r="F66" i="41"/>
  <c r="F66" i="38"/>
  <c r="F66" i="39"/>
  <c r="F66" i="40"/>
  <c r="F66" i="36"/>
  <c r="F66" i="31"/>
  <c r="F66" i="32"/>
  <c r="F66" i="1"/>
  <c r="F66" i="30"/>
  <c r="F210" i="45"/>
  <c r="F210" i="41"/>
  <c r="F210" i="44"/>
  <c r="F210" i="40"/>
  <c r="F210" i="39"/>
  <c r="F210" i="38"/>
  <c r="F210" i="36"/>
  <c r="F210" i="32"/>
  <c r="F210" i="30"/>
  <c r="F210" i="31"/>
  <c r="F210" i="1"/>
  <c r="F176" i="45"/>
  <c r="F176" i="44"/>
  <c r="F176" i="39"/>
  <c r="F176" i="38"/>
  <c r="F176" i="40"/>
  <c r="F176" i="31"/>
  <c r="F176" i="36"/>
  <c r="F176" i="32"/>
  <c r="F176" i="41"/>
  <c r="F176" i="1"/>
  <c r="F176" i="30"/>
  <c r="F151" i="48"/>
  <c r="F142" i="44"/>
  <c r="F142" i="45"/>
  <c r="F142" i="41"/>
  <c r="F142" i="40"/>
  <c r="F142" i="38"/>
  <c r="F142" i="39"/>
  <c r="F142" i="36"/>
  <c r="F142" i="31"/>
  <c r="F142" i="32"/>
  <c r="F142" i="1"/>
  <c r="F142" i="30"/>
  <c r="F108" i="45"/>
  <c r="F108" i="44"/>
  <c r="F108" i="41"/>
  <c r="F108" i="40"/>
  <c r="F108" i="39"/>
  <c r="F108" i="38"/>
  <c r="F108" i="32"/>
  <c r="F108" i="36"/>
  <c r="F108" i="31"/>
  <c r="F108" i="30"/>
  <c r="F108" i="1"/>
  <c r="F72" i="48"/>
  <c r="F63" i="44"/>
  <c r="F63" i="41"/>
  <c r="F63" i="45"/>
  <c r="F63" i="39"/>
  <c r="F63" i="36"/>
  <c r="F63" i="40"/>
  <c r="F63" i="38"/>
  <c r="F63" i="31"/>
  <c r="F63" i="30"/>
  <c r="F63" i="32"/>
  <c r="F63" i="1"/>
  <c r="F205" i="48"/>
  <c r="F196" i="44"/>
  <c r="F196" i="41"/>
  <c r="F196" i="40"/>
  <c r="F196" i="45"/>
  <c r="F196" i="39"/>
  <c r="F196" i="36"/>
  <c r="F196" i="38"/>
  <c r="F196" i="31"/>
  <c r="F196" i="30"/>
  <c r="F196" i="32"/>
  <c r="F196" i="1"/>
  <c r="F206" i="45"/>
  <c r="F206" i="44"/>
  <c r="F206" i="41"/>
  <c r="F206" i="40"/>
  <c r="F206" i="39"/>
  <c r="F206" i="38"/>
  <c r="F206" i="31"/>
  <c r="F206" i="36"/>
  <c r="F206" i="30"/>
  <c r="F206" i="32"/>
  <c r="F206" i="1"/>
  <c r="F181" i="45"/>
  <c r="F181" i="44"/>
  <c r="F181" i="41"/>
  <c r="F181" i="40"/>
  <c r="F181" i="39"/>
  <c r="F181" i="31"/>
  <c r="F181" i="38"/>
  <c r="F181" i="36"/>
  <c r="F181" i="30"/>
  <c r="F181" i="32"/>
  <c r="F181" i="1"/>
  <c r="F150" i="48"/>
  <c r="F141" i="45"/>
  <c r="F141" i="44"/>
  <c r="F141" i="41"/>
  <c r="F141" i="40"/>
  <c r="F141" i="39"/>
  <c r="F141" i="38"/>
  <c r="F141" i="36"/>
  <c r="F141" i="32"/>
  <c r="F141" i="1"/>
  <c r="F141" i="31"/>
  <c r="F141" i="30"/>
  <c r="F101" i="45"/>
  <c r="F101" i="41"/>
  <c r="F101" i="40"/>
  <c r="F101" i="44"/>
  <c r="F101" i="39"/>
  <c r="F101" i="36"/>
  <c r="F101" i="31"/>
  <c r="F101" i="38"/>
  <c r="F101" i="32"/>
  <c r="F101" i="1"/>
  <c r="F101" i="30"/>
  <c r="F71" i="48"/>
  <c r="F62" i="45"/>
  <c r="F62" i="44"/>
  <c r="F62" i="39"/>
  <c r="F62" i="40"/>
  <c r="F62" i="41"/>
  <c r="F62" i="31"/>
  <c r="F62" i="36"/>
  <c r="F62" i="38"/>
  <c r="F62" i="32"/>
  <c r="F62" i="1"/>
  <c r="F62" i="30"/>
  <c r="F214" i="45"/>
  <c r="F214" i="41"/>
  <c r="F214" i="44"/>
  <c r="F214" i="40"/>
  <c r="F214" i="39"/>
  <c r="F214" i="38"/>
  <c r="F214" i="36"/>
  <c r="F214" i="32"/>
  <c r="F214" i="31"/>
  <c r="F214" i="1"/>
  <c r="F214" i="30"/>
  <c r="F181" i="48"/>
  <c r="F172" i="45"/>
  <c r="F172" i="44"/>
  <c r="F172" i="41"/>
  <c r="F172" i="40"/>
  <c r="F172" i="38"/>
  <c r="F172" i="39"/>
  <c r="F172" i="31"/>
  <c r="F172" i="36"/>
  <c r="F172" i="32"/>
  <c r="F172" i="1"/>
  <c r="F172" i="30"/>
  <c r="F173" i="48"/>
  <c r="F164" i="44"/>
  <c r="F164" i="45"/>
  <c r="F164" i="41"/>
  <c r="F164" i="40"/>
  <c r="F164" i="38"/>
  <c r="F164" i="39"/>
  <c r="F164" i="36"/>
  <c r="F164" i="31"/>
  <c r="F164" i="32"/>
  <c r="F164" i="1"/>
  <c r="F164" i="30"/>
  <c r="F85" i="48"/>
  <c r="F76" i="44"/>
  <c r="F76" i="45"/>
  <c r="F76" i="41"/>
  <c r="F76" i="39"/>
  <c r="F76" i="40"/>
  <c r="F76" i="38"/>
  <c r="F76" i="36"/>
  <c r="F76" i="31"/>
  <c r="F76" i="32"/>
  <c r="F76" i="1"/>
  <c r="F76" i="30"/>
  <c r="F149" i="48"/>
  <c r="F140" i="45"/>
  <c r="F140" i="44"/>
  <c r="F140" i="41"/>
  <c r="F140" i="40"/>
  <c r="F140" i="39"/>
  <c r="F140" i="31"/>
  <c r="F140" i="38"/>
  <c r="F140" i="36"/>
  <c r="F140" i="32"/>
  <c r="F140" i="1"/>
  <c r="F140" i="30"/>
  <c r="F98" i="48"/>
  <c r="F89" i="45"/>
  <c r="F89" i="41"/>
  <c r="F89" i="44"/>
  <c r="F89" i="39"/>
  <c r="F89" i="40"/>
  <c r="F89" i="38"/>
  <c r="F89" i="31"/>
  <c r="F89" i="36"/>
  <c r="F89" i="32"/>
  <c r="F89" i="1"/>
  <c r="F89" i="30"/>
  <c r="F103" i="48"/>
  <c r="F94" i="44"/>
  <c r="F94" i="41"/>
  <c r="F94" i="45"/>
  <c r="F94" i="39"/>
  <c r="F94" i="36"/>
  <c r="F94" i="40"/>
  <c r="F94" i="38"/>
  <c r="F94" i="31"/>
  <c r="F94" i="30"/>
  <c r="F94" i="32"/>
  <c r="F94" i="1"/>
  <c r="F92" i="48"/>
  <c r="F83" i="45"/>
  <c r="F83" i="44"/>
  <c r="F83" i="41"/>
  <c r="F83" i="39"/>
  <c r="F83" i="40"/>
  <c r="F83" i="38"/>
  <c r="F83" i="36"/>
  <c r="F83" i="31"/>
  <c r="F83" i="32"/>
  <c r="F83" i="1"/>
  <c r="F83" i="30"/>
  <c r="F154" i="48"/>
  <c r="F145" i="44"/>
  <c r="F145" i="45"/>
  <c r="F145" i="41"/>
  <c r="F145" i="40"/>
  <c r="F145" i="39"/>
  <c r="F145" i="38"/>
  <c r="F145" i="36"/>
  <c r="F145" i="31"/>
  <c r="F145" i="32"/>
  <c r="F145" i="30"/>
  <c r="F145" i="1"/>
  <c r="F64" i="48"/>
  <c r="F55" i="45"/>
  <c r="F55" i="44"/>
  <c r="F55" i="39"/>
  <c r="F55" i="40"/>
  <c r="F55" i="38"/>
  <c r="F55" i="36"/>
  <c r="F55" i="41"/>
  <c r="F55" i="32"/>
  <c r="F55" i="31"/>
  <c r="F55" i="1"/>
  <c r="F55" i="30"/>
  <c r="F176" i="48"/>
  <c r="F167" i="44"/>
  <c r="F167" i="45"/>
  <c r="F167" i="41"/>
  <c r="F167" i="40"/>
  <c r="F167" i="38"/>
  <c r="F167" i="36"/>
  <c r="F167" i="31"/>
  <c r="F167" i="39"/>
  <c r="F167" i="32"/>
  <c r="F167" i="1"/>
  <c r="F167" i="30"/>
  <c r="F104" i="45"/>
  <c r="F104" i="41"/>
  <c r="F104" i="40"/>
  <c r="F104" i="39"/>
  <c r="F104" i="44"/>
  <c r="F104" i="36"/>
  <c r="F104" i="31"/>
  <c r="F104" i="38"/>
  <c r="F104" i="32"/>
  <c r="F104" i="30"/>
  <c r="F104" i="1"/>
  <c r="F74" i="48"/>
  <c r="F65" i="45"/>
  <c r="F65" i="44"/>
  <c r="F65" i="41"/>
  <c r="F65" i="39"/>
  <c r="F65" i="40"/>
  <c r="F65" i="31"/>
  <c r="F65" i="36"/>
  <c r="F65" i="38"/>
  <c r="F65" i="32"/>
  <c r="F65" i="1"/>
  <c r="F65" i="30"/>
  <c r="F183" i="45"/>
  <c r="F183" i="44"/>
  <c r="F183" i="41"/>
  <c r="F183" i="40"/>
  <c r="F183" i="38"/>
  <c r="F183" i="39"/>
  <c r="F183" i="36"/>
  <c r="F183" i="31"/>
  <c r="F183" i="30"/>
  <c r="F183" i="32"/>
  <c r="F183" i="1"/>
  <c r="F158" i="48"/>
  <c r="F149" i="45"/>
  <c r="F149" i="44"/>
  <c r="F149" i="41"/>
  <c r="F149" i="40"/>
  <c r="F149" i="39"/>
  <c r="F149" i="32"/>
  <c r="F149" i="31"/>
  <c r="F149" i="38"/>
  <c r="F149" i="36"/>
  <c r="F149" i="30"/>
  <c r="F149" i="1"/>
  <c r="F89" i="48"/>
  <c r="F80" i="44"/>
  <c r="F80" i="45"/>
  <c r="F80" i="41"/>
  <c r="F80" i="39"/>
  <c r="F80" i="38"/>
  <c r="F80" i="36"/>
  <c r="F80" i="31"/>
  <c r="F80" i="30"/>
  <c r="F80" i="32"/>
  <c r="F80" i="40"/>
  <c r="F80" i="1"/>
  <c r="F143" i="48"/>
  <c r="F134" i="45"/>
  <c r="F134" i="44"/>
  <c r="F134" i="39"/>
  <c r="F134" i="38"/>
  <c r="F134" i="41"/>
  <c r="F134" i="31"/>
  <c r="F134" i="40"/>
  <c r="F134" i="36"/>
  <c r="F134" i="32"/>
  <c r="F134" i="1"/>
  <c r="F134" i="30"/>
  <c r="F53" i="48"/>
  <c r="F44" i="45"/>
  <c r="F44" i="44"/>
  <c r="F44" i="41"/>
  <c r="F44" i="40"/>
  <c r="F44" i="39"/>
  <c r="F44" i="36"/>
  <c r="F44" i="32"/>
  <c r="F44" i="31"/>
  <c r="F44" i="30"/>
  <c r="F44" i="1"/>
  <c r="F44" i="38"/>
  <c r="F213" i="48"/>
  <c r="F204" i="44"/>
  <c r="F204" i="45"/>
  <c r="F204" i="41"/>
  <c r="F204" i="40"/>
  <c r="F204" i="39"/>
  <c r="F204" i="38"/>
  <c r="F204" i="36"/>
  <c r="F204" i="31"/>
  <c r="F204" i="30"/>
  <c r="F204" i="32"/>
  <c r="F204" i="1"/>
  <c r="F180" i="48"/>
  <c r="F171" i="44"/>
  <c r="F171" i="41"/>
  <c r="F171" i="40"/>
  <c r="F171" i="39"/>
  <c r="F171" i="45"/>
  <c r="F171" i="38"/>
  <c r="F171" i="36"/>
  <c r="F171" i="30"/>
  <c r="F171" i="32"/>
  <c r="F171" i="31"/>
  <c r="F171" i="1"/>
  <c r="F145" i="48"/>
  <c r="F136" i="45"/>
  <c r="F136" i="41"/>
  <c r="F136" i="40"/>
  <c r="F136" i="44"/>
  <c r="F136" i="39"/>
  <c r="F136" i="31"/>
  <c r="F136" i="38"/>
  <c r="F136" i="36"/>
  <c r="F136" i="32"/>
  <c r="F136" i="1"/>
  <c r="F136" i="30"/>
  <c r="F102" i="45"/>
  <c r="F102" i="44"/>
  <c r="F102" i="41"/>
  <c r="F102" i="40"/>
  <c r="F102" i="38"/>
  <c r="F102" i="39"/>
  <c r="F102" i="32"/>
  <c r="F102" i="36"/>
  <c r="F102" i="30"/>
  <c r="F102" i="31"/>
  <c r="F102" i="1"/>
  <c r="F67" i="48"/>
  <c r="F58" i="44"/>
  <c r="F58" i="45"/>
  <c r="F58" i="41"/>
  <c r="F58" i="39"/>
  <c r="F58" i="36"/>
  <c r="F58" i="40"/>
  <c r="F58" i="38"/>
  <c r="F58" i="31"/>
  <c r="F58" i="32"/>
  <c r="F58" i="30"/>
  <c r="F58" i="1"/>
  <c r="F184" i="48"/>
  <c r="F175" i="45"/>
  <c r="F175" i="41"/>
  <c r="F175" i="40"/>
  <c r="F175" i="44"/>
  <c r="F175" i="38"/>
  <c r="F175" i="39"/>
  <c r="F175" i="31"/>
  <c r="F175" i="32"/>
  <c r="F175" i="1"/>
  <c r="F175" i="30"/>
  <c r="F175" i="36"/>
  <c r="F139" i="48"/>
  <c r="F130" i="44"/>
  <c r="F130" i="45"/>
  <c r="F130" i="41"/>
  <c r="F130" i="40"/>
  <c r="F130" i="39"/>
  <c r="F130" i="38"/>
  <c r="F130" i="36"/>
  <c r="F130" i="31"/>
  <c r="F130" i="30"/>
  <c r="F130" i="32"/>
  <c r="F130" i="1"/>
  <c r="F104" i="48"/>
  <c r="F95" i="45"/>
  <c r="F95" i="44"/>
  <c r="F95" i="41"/>
  <c r="F95" i="40"/>
  <c r="F95" i="39"/>
  <c r="F95" i="38"/>
  <c r="F95" i="31"/>
  <c r="F95" i="32"/>
  <c r="F95" i="1"/>
  <c r="F95" i="36"/>
  <c r="F95" i="30"/>
  <c r="F66" i="48"/>
  <c r="F57" i="45"/>
  <c r="F57" i="44"/>
  <c r="F57" i="41"/>
  <c r="F57" i="39"/>
  <c r="F57" i="40"/>
  <c r="F57" i="38"/>
  <c r="F57" i="31"/>
  <c r="F57" i="36"/>
  <c r="F57" i="32"/>
  <c r="F57" i="1"/>
  <c r="F57" i="30"/>
  <c r="F167" i="48"/>
  <c r="F158" i="45"/>
  <c r="F158" i="44"/>
  <c r="F158" i="41"/>
  <c r="F158" i="40"/>
  <c r="F158" i="38"/>
  <c r="F158" i="39"/>
  <c r="F158" i="32"/>
  <c r="F158" i="31"/>
  <c r="F158" i="36"/>
  <c r="F158" i="1"/>
  <c r="F158" i="30"/>
  <c r="F155" i="48"/>
  <c r="F146" i="45"/>
  <c r="F146" i="44"/>
  <c r="F146" i="41"/>
  <c r="F146" i="40"/>
  <c r="F146" i="39"/>
  <c r="F146" i="38"/>
  <c r="F146" i="32"/>
  <c r="F146" i="31"/>
  <c r="F146" i="36"/>
  <c r="F146" i="30"/>
  <c r="F146" i="1"/>
  <c r="F63" i="48"/>
  <c r="F54" i="45"/>
  <c r="F54" i="44"/>
  <c r="F54" i="41"/>
  <c r="F54" i="39"/>
  <c r="F54" i="40"/>
  <c r="F54" i="38"/>
  <c r="F54" i="31"/>
  <c r="F54" i="36"/>
  <c r="F54" i="32"/>
  <c r="F54" i="1"/>
  <c r="F54" i="30"/>
  <c r="F73" i="48"/>
  <c r="F64" i="45"/>
  <c r="F64" i="44"/>
  <c r="F64" i="41"/>
  <c r="F64" i="39"/>
  <c r="F64" i="40"/>
  <c r="F64" i="38"/>
  <c r="F64" i="31"/>
  <c r="F64" i="36"/>
  <c r="F64" i="32"/>
  <c r="F64" i="1"/>
  <c r="F64" i="30"/>
  <c r="F119" i="44"/>
  <c r="F119" i="41"/>
  <c r="F119" i="45"/>
  <c r="F119" i="40"/>
  <c r="F119" i="39"/>
  <c r="F119" i="38"/>
  <c r="F119" i="36"/>
  <c r="F119" i="31"/>
  <c r="F119" i="30"/>
  <c r="F119" i="32"/>
  <c r="F119" i="1"/>
  <c r="F60" i="48"/>
  <c r="F51" i="44"/>
  <c r="F51" i="45"/>
  <c r="F51" i="41"/>
  <c r="F51" i="39"/>
  <c r="F51" i="38"/>
  <c r="F51" i="36"/>
  <c r="F51" i="31"/>
  <c r="F51" i="40"/>
  <c r="F51" i="30"/>
  <c r="F51" i="32"/>
  <c r="F51" i="1"/>
  <c r="F172" i="48"/>
  <c r="F163" i="45"/>
  <c r="F163" i="44"/>
  <c r="F163" i="38"/>
  <c r="F163" i="41"/>
  <c r="F163" i="40"/>
  <c r="F163" i="39"/>
  <c r="F163" i="36"/>
  <c r="F163" i="31"/>
  <c r="F163" i="32"/>
  <c r="F163" i="1"/>
  <c r="F163" i="30"/>
  <c r="F70" i="48"/>
  <c r="F61" i="45"/>
  <c r="F61" i="41"/>
  <c r="F61" i="44"/>
  <c r="F61" i="39"/>
  <c r="F61" i="40"/>
  <c r="F61" i="38"/>
  <c r="F61" i="36"/>
  <c r="F61" i="31"/>
  <c r="F61" i="32"/>
  <c r="F61" i="1"/>
  <c r="F61" i="30"/>
  <c r="F178" i="48"/>
  <c r="F169" i="45"/>
  <c r="F169" i="41"/>
  <c r="F169" i="40"/>
  <c r="F169" i="38"/>
  <c r="F169" i="44"/>
  <c r="F169" i="39"/>
  <c r="F169" i="31"/>
  <c r="F169" i="36"/>
  <c r="F169" i="32"/>
  <c r="F169" i="1"/>
  <c r="F169" i="30"/>
  <c r="F82" i="48"/>
  <c r="F73" i="44"/>
  <c r="F73" i="45"/>
  <c r="F73" i="41"/>
  <c r="F73" i="39"/>
  <c r="F73" i="40"/>
  <c r="F73" i="38"/>
  <c r="F73" i="36"/>
  <c r="F73" i="31"/>
  <c r="F73" i="32"/>
  <c r="F73" i="30"/>
  <c r="F73" i="1"/>
  <c r="F183" i="48"/>
  <c r="F174" i="44"/>
  <c r="F174" i="45"/>
  <c r="F174" i="41"/>
  <c r="F174" i="40"/>
  <c r="F174" i="39"/>
  <c r="F174" i="38"/>
  <c r="F174" i="36"/>
  <c r="F174" i="31"/>
  <c r="F174" i="30"/>
  <c r="F174" i="32"/>
  <c r="F174" i="1"/>
  <c r="F59" i="48"/>
  <c r="F50" i="45"/>
  <c r="F50" i="41"/>
  <c r="F50" i="44"/>
  <c r="F50" i="39"/>
  <c r="F50" i="40"/>
  <c r="F50" i="36"/>
  <c r="F50" i="38"/>
  <c r="F50" i="32"/>
  <c r="F50" i="31"/>
  <c r="F50" i="1"/>
  <c r="F50" i="30"/>
  <c r="F170" i="48"/>
  <c r="F161" i="45"/>
  <c r="F161" i="44"/>
  <c r="F161" i="41"/>
  <c r="F161" i="40"/>
  <c r="F161" i="38"/>
  <c r="F161" i="39"/>
  <c r="F161" i="36"/>
  <c r="F161" i="32"/>
  <c r="F161" i="31"/>
  <c r="F161" i="30"/>
  <c r="F161" i="1"/>
  <c r="F107" i="48"/>
  <c r="F98" i="44"/>
  <c r="F98" i="45"/>
  <c r="F98" i="41"/>
  <c r="F98" i="40"/>
  <c r="F98" i="38"/>
  <c r="F98" i="39"/>
  <c r="F98" i="36"/>
  <c r="F98" i="31"/>
  <c r="F98" i="32"/>
  <c r="F98" i="30"/>
  <c r="F98" i="1"/>
  <c r="F69" i="48"/>
  <c r="F60" i="45"/>
  <c r="F60" i="41"/>
  <c r="F60" i="44"/>
  <c r="F60" i="39"/>
  <c r="F60" i="40"/>
  <c r="F60" i="31"/>
  <c r="F60" i="38"/>
  <c r="F60" i="36"/>
  <c r="F60" i="32"/>
  <c r="F60" i="1"/>
  <c r="F60" i="30"/>
  <c r="F211" i="44"/>
  <c r="F211" i="45"/>
  <c r="F211" i="40"/>
  <c r="F211" i="41"/>
  <c r="F211" i="39"/>
  <c r="F211" i="38"/>
  <c r="F211" i="36"/>
  <c r="F211" i="31"/>
  <c r="F211" i="30"/>
  <c r="F211" i="32"/>
  <c r="F211" i="1"/>
  <c r="F177" i="44"/>
  <c r="F177" i="45"/>
  <c r="F177" i="41"/>
  <c r="F177" i="40"/>
  <c r="F177" i="39"/>
  <c r="F177" i="38"/>
  <c r="F177" i="36"/>
  <c r="F177" i="31"/>
  <c r="F177" i="30"/>
  <c r="F177" i="32"/>
  <c r="F177" i="1"/>
  <c r="F152" i="48"/>
  <c r="F143" i="45"/>
  <c r="F143" i="44"/>
  <c r="F143" i="41"/>
  <c r="F143" i="40"/>
  <c r="F143" i="39"/>
  <c r="F143" i="38"/>
  <c r="F143" i="31"/>
  <c r="F143" i="36"/>
  <c r="F143" i="32"/>
  <c r="F143" i="1"/>
  <c r="F143" i="30"/>
  <c r="F79" i="48"/>
  <c r="F70" i="45"/>
  <c r="F70" i="44"/>
  <c r="F70" i="41"/>
  <c r="F70" i="40"/>
  <c r="F70" i="38"/>
  <c r="F70" i="36"/>
  <c r="F70" i="32"/>
  <c r="F70" i="31"/>
  <c r="F70" i="30"/>
  <c r="F70" i="39"/>
  <c r="F70" i="1"/>
  <c r="F207" i="44"/>
  <c r="F207" i="41"/>
  <c r="F207" i="40"/>
  <c r="F207" i="39"/>
  <c r="F207" i="45"/>
  <c r="F207" i="38"/>
  <c r="F207" i="36"/>
  <c r="F207" i="31"/>
  <c r="F207" i="30"/>
  <c r="F207" i="1"/>
  <c r="F207" i="32"/>
  <c r="F212" i="44"/>
  <c r="F212" i="45"/>
  <c r="F212" i="40"/>
  <c r="F212" i="41"/>
  <c r="F212" i="38"/>
  <c r="F212" i="36"/>
  <c r="F212" i="31"/>
  <c r="F212" i="30"/>
  <c r="F212" i="39"/>
  <c r="F212" i="32"/>
  <c r="F212" i="1"/>
  <c r="F208" i="48"/>
  <c r="F199" i="44"/>
  <c r="F199" i="45"/>
  <c r="F199" i="41"/>
  <c r="F199" i="40"/>
  <c r="F199" i="39"/>
  <c r="F199" i="38"/>
  <c r="F199" i="36"/>
  <c r="F199" i="31"/>
  <c r="F199" i="32"/>
  <c r="F199" i="30"/>
  <c r="F199" i="1"/>
  <c r="F174" i="48"/>
  <c r="F165" i="45"/>
  <c r="F165" i="44"/>
  <c r="F165" i="38"/>
  <c r="F165" i="39"/>
  <c r="F165" i="41"/>
  <c r="F165" i="40"/>
  <c r="F165" i="36"/>
  <c r="F165" i="31"/>
  <c r="F165" i="32"/>
  <c r="F165" i="1"/>
  <c r="F165" i="30"/>
  <c r="F140" i="48"/>
  <c r="F131" i="44"/>
  <c r="F131" i="45"/>
  <c r="F131" i="41"/>
  <c r="F131" i="40"/>
  <c r="F131" i="39"/>
  <c r="F131" i="36"/>
  <c r="F131" i="31"/>
  <c r="F131" i="38"/>
  <c r="F131" i="32"/>
  <c r="F131" i="30"/>
  <c r="F131" i="1"/>
  <c r="F105" i="48"/>
  <c r="F96" i="45"/>
  <c r="F96" i="44"/>
  <c r="F96" i="39"/>
  <c r="F96" i="40"/>
  <c r="F96" i="31"/>
  <c r="F96" i="36"/>
  <c r="F96" i="38"/>
  <c r="F96" i="41"/>
  <c r="F96" i="32"/>
  <c r="F96" i="1"/>
  <c r="F96" i="30"/>
  <c r="F61" i="48"/>
  <c r="F52" i="44"/>
  <c r="F52" i="45"/>
  <c r="F52" i="41"/>
  <c r="F52" i="39"/>
  <c r="F52" i="40"/>
  <c r="F52" i="38"/>
  <c r="F52" i="36"/>
  <c r="F52" i="32"/>
  <c r="F52" i="30"/>
  <c r="F52" i="1"/>
  <c r="F52" i="31"/>
  <c r="F171" i="48"/>
  <c r="F162" i="44"/>
  <c r="F162" i="45"/>
  <c r="F162" i="41"/>
  <c r="F162" i="40"/>
  <c r="F162" i="38"/>
  <c r="F162" i="39"/>
  <c r="F162" i="36"/>
  <c r="F162" i="31"/>
  <c r="F162" i="32"/>
  <c r="F162" i="30"/>
  <c r="F162" i="1"/>
  <c r="F178" i="45"/>
  <c r="F178" i="44"/>
  <c r="F178" i="41"/>
  <c r="F178" i="40"/>
  <c r="F178" i="39"/>
  <c r="F178" i="38"/>
  <c r="F178" i="31"/>
  <c r="F178" i="36"/>
  <c r="F178" i="32"/>
  <c r="F178" i="1"/>
  <c r="F178" i="30"/>
  <c r="F179" i="48"/>
  <c r="F170" i="45"/>
  <c r="F170" i="44"/>
  <c r="F170" i="41"/>
  <c r="F170" i="40"/>
  <c r="F170" i="39"/>
  <c r="F170" i="38"/>
  <c r="F170" i="31"/>
  <c r="F170" i="36"/>
  <c r="F170" i="32"/>
  <c r="F170" i="1"/>
  <c r="F170" i="30"/>
  <c r="F133" i="48"/>
  <c r="F124" i="45"/>
  <c r="F124" i="44"/>
  <c r="F124" i="41"/>
  <c r="F124" i="40"/>
  <c r="F124" i="38"/>
  <c r="F124" i="39"/>
  <c r="F124" i="32"/>
  <c r="F124" i="36"/>
  <c r="F124" i="31"/>
  <c r="F124" i="30"/>
  <c r="F124" i="1"/>
  <c r="F99" i="48"/>
  <c r="F90" i="45"/>
  <c r="F90" i="44"/>
  <c r="F90" i="39"/>
  <c r="F90" i="41"/>
  <c r="F90" i="40"/>
  <c r="F90" i="31"/>
  <c r="F90" i="36"/>
  <c r="F90" i="38"/>
  <c r="F90" i="32"/>
  <c r="F90" i="1"/>
  <c r="F90" i="30"/>
  <c r="F55" i="48"/>
  <c r="F46" i="45"/>
  <c r="F46" i="44"/>
  <c r="F46" i="41"/>
  <c r="F46" i="40"/>
  <c r="F46" i="39"/>
  <c r="F46" i="36"/>
  <c r="F46" i="38"/>
  <c r="F46" i="32"/>
  <c r="F46" i="31"/>
  <c r="F46" i="30"/>
  <c r="F46" i="1"/>
  <c r="N322" i="47"/>
  <c r="D11" i="48"/>
  <c r="D12" i="48"/>
  <c r="D9" i="48"/>
  <c r="D33" i="48"/>
  <c r="D252" i="48"/>
  <c r="D248" i="48"/>
  <c r="D34" i="48"/>
  <c r="D29" i="48"/>
  <c r="D30" i="48"/>
  <c r="D35" i="48"/>
  <c r="D237" i="48"/>
  <c r="D86" i="48"/>
  <c r="F86" i="44" s="1"/>
  <c r="D277" i="48"/>
  <c r="D283" i="48"/>
  <c r="D289" i="48"/>
  <c r="D300" i="48"/>
  <c r="D306" i="48"/>
  <c r="D312" i="48"/>
  <c r="D317" i="48"/>
  <c r="D328" i="48"/>
  <c r="D286" i="48"/>
  <c r="D303" i="48"/>
  <c r="D320" i="48"/>
  <c r="D293" i="48"/>
  <c r="D315" i="48"/>
  <c r="D278" i="48"/>
  <c r="D284" i="48"/>
  <c r="D290" i="48"/>
  <c r="D295" i="48"/>
  <c r="D301" i="48"/>
  <c r="D307" i="48"/>
  <c r="D313" i="48"/>
  <c r="D318" i="48"/>
  <c r="D323" i="48"/>
  <c r="D329" i="48"/>
  <c r="D274" i="48"/>
  <c r="D292" i="48"/>
  <c r="D309" i="48"/>
  <c r="D325" i="48"/>
  <c r="D334" i="48"/>
  <c r="D275" i="48"/>
  <c r="D287" i="48"/>
  <c r="D298" i="48"/>
  <c r="D310" i="48"/>
  <c r="D326" i="48"/>
  <c r="D273" i="48"/>
  <c r="D279" i="48"/>
  <c r="D285" i="48"/>
  <c r="D291" i="48"/>
  <c r="D296" i="48"/>
  <c r="D302" i="48"/>
  <c r="D308" i="48"/>
  <c r="D314" i="48"/>
  <c r="D319" i="48"/>
  <c r="D324" i="48"/>
  <c r="D280" i="48"/>
  <c r="D297" i="48"/>
  <c r="D281" i="48"/>
  <c r="D304" i="48"/>
  <c r="D305" i="48"/>
  <c r="D327" i="48"/>
  <c r="D276" i="48"/>
  <c r="D311" i="48"/>
  <c r="D282" i="48"/>
  <c r="D321" i="48"/>
  <c r="F321" i="41" s="1"/>
  <c r="D299" i="48"/>
  <c r="D288" i="48"/>
  <c r="D316" i="48"/>
  <c r="D294" i="48"/>
  <c r="D322" i="48"/>
  <c r="D333" i="48"/>
  <c r="D7" i="48"/>
  <c r="F330" i="48"/>
  <c r="N330" i="46"/>
  <c r="N330" i="47"/>
  <c r="N238" i="46"/>
  <c r="N238" i="47"/>
  <c r="N86" i="47"/>
  <c r="N85" i="46"/>
  <c r="N85" i="47"/>
  <c r="D3" i="48"/>
  <c r="N2" i="46"/>
  <c r="N2" i="47"/>
  <c r="N236" i="47"/>
  <c r="F254" i="48"/>
  <c r="F251" i="48"/>
  <c r="F240" i="48"/>
  <c r="F242" i="48"/>
  <c r="F239" i="48"/>
  <c r="F265" i="48"/>
  <c r="F236" i="48"/>
  <c r="F40" i="48"/>
  <c r="F37" i="48"/>
  <c r="F39" i="48"/>
  <c r="D5" i="48"/>
  <c r="D4" i="48"/>
  <c r="D10" i="48"/>
  <c r="D6" i="48"/>
  <c r="F29" i="38" l="1"/>
  <c r="F29" i="45"/>
  <c r="F29" i="36"/>
  <c r="F29" i="44"/>
  <c r="F29" i="32"/>
  <c r="F29" i="41"/>
  <c r="F29" i="31"/>
  <c r="F29" i="39"/>
  <c r="F29" i="1"/>
  <c r="F29" i="40"/>
  <c r="F29" i="30"/>
  <c r="F86" i="31"/>
  <c r="F86" i="41"/>
  <c r="F321" i="38"/>
  <c r="F86" i="36"/>
  <c r="F86" i="45"/>
  <c r="F321" i="1"/>
  <c r="F321" i="39"/>
  <c r="F248" i="41"/>
  <c r="F248" i="32"/>
  <c r="F248" i="38"/>
  <c r="F248" i="1"/>
  <c r="F248" i="36"/>
  <c r="F248" i="45"/>
  <c r="F248" i="39"/>
  <c r="F248" i="40"/>
  <c r="F248" i="31"/>
  <c r="F248" i="44"/>
  <c r="F248" i="30"/>
  <c r="F333" i="45"/>
  <c r="F333" i="30"/>
  <c r="F333" i="44"/>
  <c r="F333" i="32"/>
  <c r="F333" i="41"/>
  <c r="F333" i="39"/>
  <c r="F333" i="1"/>
  <c r="F333" i="40"/>
  <c r="F333" i="38"/>
  <c r="F333" i="31"/>
  <c r="F333" i="36"/>
  <c r="F35" i="48"/>
  <c r="F35" i="44"/>
  <c r="F35" i="31"/>
  <c r="F35" i="39"/>
  <c r="F35" i="1"/>
  <c r="F35" i="40"/>
  <c r="F35" i="30"/>
  <c r="F35" i="38"/>
  <c r="F35" i="45"/>
  <c r="F35" i="36"/>
  <c r="F35" i="41"/>
  <c r="F35" i="32"/>
  <c r="F86" i="38"/>
  <c r="F321" i="30"/>
  <c r="F321" i="40"/>
  <c r="F327" i="45"/>
  <c r="F327" i="39"/>
  <c r="F327" i="31"/>
  <c r="F327" i="36"/>
  <c r="F327" i="30"/>
  <c r="F327" i="40"/>
  <c r="F327" i="44"/>
  <c r="F327" i="32"/>
  <c r="F327" i="41"/>
  <c r="F327" i="1"/>
  <c r="F327" i="38"/>
  <c r="F34" i="45"/>
  <c r="F34" i="30"/>
  <c r="F34" i="39"/>
  <c r="F34" i="31"/>
  <c r="F34" i="40"/>
  <c r="F34" i="1"/>
  <c r="F34" i="38"/>
  <c r="F34" i="44"/>
  <c r="F34" i="36"/>
  <c r="F34" i="41"/>
  <c r="F34" i="32"/>
  <c r="F329" i="45"/>
  <c r="F329" i="39"/>
  <c r="F329" i="41"/>
  <c r="F329" i="44"/>
  <c r="F329" i="36"/>
  <c r="F329" i="32"/>
  <c r="F329" i="30"/>
  <c r="F329" i="40"/>
  <c r="F329" i="1"/>
  <c r="F329" i="38"/>
  <c r="F329" i="31"/>
  <c r="F237" i="39"/>
  <c r="F237" i="1"/>
  <c r="F237" i="38"/>
  <c r="F237" i="45"/>
  <c r="F237" i="31"/>
  <c r="F237" i="41"/>
  <c r="F237" i="36"/>
  <c r="F237" i="40"/>
  <c r="F237" i="30"/>
  <c r="F237" i="44"/>
  <c r="F237" i="32"/>
  <c r="F252" i="45"/>
  <c r="F252" i="32"/>
  <c r="F252" i="39"/>
  <c r="F252" i="1"/>
  <c r="F252" i="38"/>
  <c r="F252" i="44"/>
  <c r="F252" i="36"/>
  <c r="F252" i="41"/>
  <c r="F252" i="31"/>
  <c r="F252" i="40"/>
  <c r="F252" i="30"/>
  <c r="F322" i="41"/>
  <c r="F322" i="30"/>
  <c r="F322" i="1"/>
  <c r="F322" i="45"/>
  <c r="F322" i="38"/>
  <c r="F322" i="40"/>
  <c r="F322" i="36"/>
  <c r="F322" i="39"/>
  <c r="F322" i="31"/>
  <c r="F322" i="32"/>
  <c r="F322" i="44"/>
  <c r="F334" i="45"/>
  <c r="F334" i="30"/>
  <c r="F334" i="36"/>
  <c r="F334" i="41"/>
  <c r="F334" i="32"/>
  <c r="F334" i="40"/>
  <c r="F334" i="1"/>
  <c r="F334" i="38"/>
  <c r="F334" i="31"/>
  <c r="F334" i="39"/>
  <c r="F334" i="44"/>
  <c r="F33" i="36"/>
  <c r="F33" i="45"/>
  <c r="F33" i="32"/>
  <c r="F33" i="44"/>
  <c r="F33" i="31"/>
  <c r="F33" i="41"/>
  <c r="F33" i="30"/>
  <c r="F33" i="40"/>
  <c r="F33" i="1"/>
  <c r="F33" i="39"/>
  <c r="F33" i="38"/>
  <c r="F30" i="45"/>
  <c r="F30" i="41"/>
  <c r="F30" i="31"/>
  <c r="F30" i="36"/>
  <c r="F30" i="40"/>
  <c r="F30" i="38"/>
  <c r="F30" i="1"/>
  <c r="F30" i="44"/>
  <c r="F30" i="30"/>
  <c r="F30" i="39"/>
  <c r="F30" i="32"/>
  <c r="F86" i="30"/>
  <c r="F86" i="40"/>
  <c r="F321" i="32"/>
  <c r="F321" i="45"/>
  <c r="F86" i="1"/>
  <c r="F86" i="39"/>
  <c r="F321" i="31"/>
  <c r="F321" i="44"/>
  <c r="F328" i="45"/>
  <c r="F328" i="1"/>
  <c r="F328" i="38"/>
  <c r="F328" i="30"/>
  <c r="F328" i="36"/>
  <c r="F328" i="44"/>
  <c r="F328" i="41"/>
  <c r="F328" i="31"/>
  <c r="F328" i="32"/>
  <c r="F328" i="40"/>
  <c r="F328" i="39"/>
  <c r="F86" i="32"/>
  <c r="F321" i="36"/>
  <c r="N326" i="47"/>
  <c r="N344" i="46"/>
  <c r="F325" i="45"/>
  <c r="F325" i="44"/>
  <c r="F325" i="40"/>
  <c r="F325" i="38"/>
  <c r="F325" i="39"/>
  <c r="F325" i="41"/>
  <c r="F325" i="31"/>
  <c r="F325" i="32"/>
  <c r="F325" i="30"/>
  <c r="F325" i="36"/>
  <c r="F325" i="1"/>
  <c r="F291" i="45"/>
  <c r="F291" i="41"/>
  <c r="F291" i="44"/>
  <c r="F291" i="40"/>
  <c r="F291" i="39"/>
  <c r="F291" i="38"/>
  <c r="F291" i="31"/>
  <c r="F291" i="36"/>
  <c r="F291" i="32"/>
  <c r="F291" i="30"/>
  <c r="F291" i="1"/>
  <c r="F264" i="45"/>
  <c r="F264" i="40"/>
  <c r="F264" i="41"/>
  <c r="F264" i="38"/>
  <c r="F264" i="44"/>
  <c r="F264" i="39"/>
  <c r="F264" i="36"/>
  <c r="F264" i="31"/>
  <c r="F264" i="32"/>
  <c r="F264" i="30"/>
  <c r="F264" i="1"/>
  <c r="F294" i="45"/>
  <c r="F294" i="41"/>
  <c r="F294" i="40"/>
  <c r="F294" i="39"/>
  <c r="F294" i="38"/>
  <c r="F294" i="31"/>
  <c r="F294" i="44"/>
  <c r="F294" i="36"/>
  <c r="F294" i="32"/>
  <c r="F294" i="30"/>
  <c r="F294" i="1"/>
  <c r="F275" i="45"/>
  <c r="F275" i="41"/>
  <c r="F275" i="44"/>
  <c r="F275" i="39"/>
  <c r="F275" i="38"/>
  <c r="F275" i="31"/>
  <c r="F275" i="36"/>
  <c r="F275" i="40"/>
  <c r="F275" i="32"/>
  <c r="F275" i="30"/>
  <c r="F275" i="1"/>
  <c r="F277" i="45"/>
  <c r="F277" i="41"/>
  <c r="F277" i="44"/>
  <c r="F277" i="40"/>
  <c r="F277" i="39"/>
  <c r="F277" i="38"/>
  <c r="F277" i="31"/>
  <c r="F277" i="36"/>
  <c r="F277" i="32"/>
  <c r="F277" i="30"/>
  <c r="F277" i="1"/>
  <c r="F271" i="45"/>
  <c r="F271" i="41"/>
  <c r="F271" i="44"/>
  <c r="F271" i="40"/>
  <c r="F271" i="38"/>
  <c r="F271" i="39"/>
  <c r="F271" i="36"/>
  <c r="F271" i="31"/>
  <c r="F271" i="32"/>
  <c r="F271" i="30"/>
  <c r="F271" i="1"/>
  <c r="F302" i="45"/>
  <c r="F302" i="41"/>
  <c r="F302" i="44"/>
  <c r="F302" i="40"/>
  <c r="F302" i="38"/>
  <c r="F302" i="39"/>
  <c r="F302" i="36"/>
  <c r="F302" i="31"/>
  <c r="F302" i="32"/>
  <c r="F302" i="30"/>
  <c r="F302" i="1"/>
  <c r="F293" i="44"/>
  <c r="F293" i="45"/>
  <c r="F293" i="41"/>
  <c r="F293" i="40"/>
  <c r="F293" i="38"/>
  <c r="F293" i="39"/>
  <c r="F293" i="36"/>
  <c r="F293" i="31"/>
  <c r="F293" i="32"/>
  <c r="F293" i="30"/>
  <c r="F293" i="1"/>
  <c r="F267" i="45"/>
  <c r="F267" i="41"/>
  <c r="F267" i="44"/>
  <c r="F267" i="40"/>
  <c r="F267" i="39"/>
  <c r="F267" i="31"/>
  <c r="F267" i="38"/>
  <c r="F267" i="36"/>
  <c r="F267" i="32"/>
  <c r="F267" i="30"/>
  <c r="F267" i="1"/>
  <c r="F301" i="44"/>
  <c r="F301" i="45"/>
  <c r="F301" i="40"/>
  <c r="F301" i="41"/>
  <c r="F301" i="38"/>
  <c r="F301" i="36"/>
  <c r="F301" i="39"/>
  <c r="F301" i="31"/>
  <c r="F301" i="32"/>
  <c r="F301" i="30"/>
  <c r="F301" i="1"/>
  <c r="F300" i="45"/>
  <c r="F300" i="41"/>
  <c r="F300" i="44"/>
  <c r="F300" i="39"/>
  <c r="F300" i="40"/>
  <c r="F300" i="38"/>
  <c r="F300" i="31"/>
  <c r="F300" i="36"/>
  <c r="F300" i="32"/>
  <c r="F300" i="30"/>
  <c r="F300" i="1"/>
  <c r="F319" i="44"/>
  <c r="F319" i="45"/>
  <c r="F319" i="41"/>
  <c r="F319" i="40"/>
  <c r="F319" i="38"/>
  <c r="F319" i="39"/>
  <c r="F319" i="36"/>
  <c r="F319" i="32"/>
  <c r="F319" i="30"/>
  <c r="F319" i="31"/>
  <c r="F319" i="1"/>
  <c r="F274" i="45"/>
  <c r="F274" i="41"/>
  <c r="F274" i="44"/>
  <c r="F274" i="40"/>
  <c r="F274" i="39"/>
  <c r="F274" i="38"/>
  <c r="F274" i="31"/>
  <c r="F274" i="36"/>
  <c r="F274" i="32"/>
  <c r="F274" i="30"/>
  <c r="F274" i="1"/>
  <c r="F318" i="45"/>
  <c r="F318" i="44"/>
  <c r="F318" i="40"/>
  <c r="F318" i="41"/>
  <c r="F318" i="39"/>
  <c r="F318" i="38"/>
  <c r="F318" i="31"/>
  <c r="F318" i="36"/>
  <c r="F318" i="32"/>
  <c r="F318" i="30"/>
  <c r="F318" i="1"/>
  <c r="F298" i="44"/>
  <c r="F298" i="45"/>
  <c r="F298" i="41"/>
  <c r="F298" i="40"/>
  <c r="F298" i="38"/>
  <c r="F298" i="39"/>
  <c r="F298" i="36"/>
  <c r="F298" i="31"/>
  <c r="F298" i="32"/>
  <c r="F298" i="30"/>
  <c r="F298" i="1"/>
  <c r="F299" i="45"/>
  <c r="F299" i="41"/>
  <c r="F299" i="44"/>
  <c r="F299" i="40"/>
  <c r="F299" i="38"/>
  <c r="F299" i="39"/>
  <c r="F299" i="36"/>
  <c r="F299" i="31"/>
  <c r="F299" i="32"/>
  <c r="F299" i="30"/>
  <c r="F299" i="1"/>
  <c r="F292" i="45"/>
  <c r="F292" i="41"/>
  <c r="F292" i="44"/>
  <c r="F292" i="39"/>
  <c r="F292" i="40"/>
  <c r="F292" i="38"/>
  <c r="F292" i="31"/>
  <c r="F292" i="36"/>
  <c r="F292" i="32"/>
  <c r="F292" i="30"/>
  <c r="F292" i="1"/>
  <c r="F77" i="45"/>
  <c r="F77" i="41"/>
  <c r="F77" i="44"/>
  <c r="F77" i="39"/>
  <c r="F77" i="40"/>
  <c r="F77" i="36"/>
  <c r="F77" i="31"/>
  <c r="F77" i="32"/>
  <c r="F77" i="38"/>
  <c r="F77" i="1"/>
  <c r="F77" i="30"/>
  <c r="F273" i="45"/>
  <c r="F273" i="44"/>
  <c r="F273" i="40"/>
  <c r="F273" i="38"/>
  <c r="F273" i="41"/>
  <c r="F273" i="39"/>
  <c r="F273" i="31"/>
  <c r="F273" i="36"/>
  <c r="F273" i="32"/>
  <c r="F273" i="30"/>
  <c r="F273" i="1"/>
  <c r="F290" i="44"/>
  <c r="F290" i="45"/>
  <c r="F290" i="40"/>
  <c r="F290" i="38"/>
  <c r="F290" i="41"/>
  <c r="F290" i="39"/>
  <c r="F290" i="31"/>
  <c r="F290" i="36"/>
  <c r="F290" i="32"/>
  <c r="F290" i="30"/>
  <c r="F290" i="1"/>
  <c r="F296" i="45"/>
  <c r="F296" i="41"/>
  <c r="F296" i="44"/>
  <c r="F296" i="40"/>
  <c r="F296" i="38"/>
  <c r="F296" i="39"/>
  <c r="F296" i="36"/>
  <c r="F296" i="31"/>
  <c r="F296" i="32"/>
  <c r="F296" i="30"/>
  <c r="F296" i="1"/>
  <c r="F276" i="45"/>
  <c r="F276" i="44"/>
  <c r="F276" i="40"/>
  <c r="F276" i="41"/>
  <c r="F276" i="39"/>
  <c r="F276" i="38"/>
  <c r="F276" i="31"/>
  <c r="F276" i="36"/>
  <c r="F276" i="32"/>
  <c r="F276" i="30"/>
  <c r="F276" i="1"/>
  <c r="F265" i="45"/>
  <c r="F265" i="41"/>
  <c r="F265" i="44"/>
  <c r="F265" i="40"/>
  <c r="F265" i="39"/>
  <c r="F265" i="31"/>
  <c r="F265" i="38"/>
  <c r="F265" i="36"/>
  <c r="F265" i="32"/>
  <c r="F265" i="30"/>
  <c r="F265" i="1"/>
  <c r="D238" i="48"/>
  <c r="F239" i="45"/>
  <c r="F239" i="41"/>
  <c r="F239" i="44"/>
  <c r="F239" i="40"/>
  <c r="F239" i="39"/>
  <c r="F239" i="38"/>
  <c r="F239" i="31"/>
  <c r="F239" i="36"/>
  <c r="F239" i="30"/>
  <c r="F239" i="32"/>
  <c r="F239" i="1"/>
  <c r="F324" i="45"/>
  <c r="F324" i="44"/>
  <c r="F324" i="41"/>
  <c r="F324" i="40"/>
  <c r="F324" i="38"/>
  <c r="F324" i="39"/>
  <c r="F324" i="36"/>
  <c r="F324" i="31"/>
  <c r="F324" i="32"/>
  <c r="F324" i="30"/>
  <c r="F324" i="1"/>
  <c r="F295" i="44"/>
  <c r="F295" i="45"/>
  <c r="F295" i="41"/>
  <c r="F295" i="40"/>
  <c r="F295" i="38"/>
  <c r="F295" i="36"/>
  <c r="F295" i="39"/>
  <c r="F295" i="32"/>
  <c r="F295" i="30"/>
  <c r="F295" i="31"/>
  <c r="F295" i="1"/>
  <c r="F270" i="41"/>
  <c r="F270" i="44"/>
  <c r="F270" i="40"/>
  <c r="F270" i="39"/>
  <c r="F270" i="45"/>
  <c r="F270" i="38"/>
  <c r="F270" i="36"/>
  <c r="F270" i="31"/>
  <c r="F270" i="1"/>
  <c r="F270" i="32"/>
  <c r="F270" i="30"/>
  <c r="F266" i="45"/>
  <c r="F266" i="44"/>
  <c r="F266" i="40"/>
  <c r="F266" i="41"/>
  <c r="F266" i="38"/>
  <c r="F266" i="39"/>
  <c r="F266" i="36"/>
  <c r="F266" i="31"/>
  <c r="F266" i="32"/>
  <c r="F266" i="30"/>
  <c r="F266" i="1"/>
  <c r="F320" i="45"/>
  <c r="F320" i="44"/>
  <c r="F320" i="40"/>
  <c r="F320" i="41"/>
  <c r="F320" i="39"/>
  <c r="F320" i="38"/>
  <c r="F320" i="31"/>
  <c r="F320" i="36"/>
  <c r="F320" i="32"/>
  <c r="F320" i="30"/>
  <c r="F320" i="1"/>
  <c r="F297" i="45"/>
  <c r="F297" i="41"/>
  <c r="F297" i="44"/>
  <c r="F297" i="40"/>
  <c r="F297" i="39"/>
  <c r="F297" i="31"/>
  <c r="F297" i="38"/>
  <c r="F297" i="36"/>
  <c r="F297" i="32"/>
  <c r="F297" i="30"/>
  <c r="F297" i="1"/>
  <c r="F228" i="45"/>
  <c r="F228" i="41"/>
  <c r="F228" i="44"/>
  <c r="F228" i="40"/>
  <c r="F228" i="39"/>
  <c r="F228" i="38"/>
  <c r="F228" i="36"/>
  <c r="F228" i="32"/>
  <c r="F228" i="31"/>
  <c r="F228" i="30"/>
  <c r="F228" i="1"/>
  <c r="F252" i="48"/>
  <c r="F243" i="44"/>
  <c r="F243" i="41"/>
  <c r="F243" i="40"/>
  <c r="F243" i="39"/>
  <c r="F243" i="38"/>
  <c r="F243" i="45"/>
  <c r="F243" i="36"/>
  <c r="F243" i="31"/>
  <c r="F243" i="30"/>
  <c r="F243" i="32"/>
  <c r="F243" i="1"/>
  <c r="D28" i="48"/>
  <c r="D335" i="48"/>
  <c r="F34" i="48"/>
  <c r="F29" i="48"/>
  <c r="F33" i="48"/>
  <c r="F248" i="48"/>
  <c r="F32" i="48"/>
  <c r="F31" i="48"/>
  <c r="F324" i="48"/>
  <c r="F30" i="48"/>
  <c r="F295" i="48"/>
  <c r="F325" i="48"/>
  <c r="F300" i="48"/>
  <c r="F320" i="48"/>
  <c r="F299" i="48"/>
  <c r="F86" i="48"/>
  <c r="N86" i="46"/>
  <c r="N237" i="46"/>
  <c r="F274" i="48"/>
  <c r="F321" i="48"/>
  <c r="F328" i="48"/>
  <c r="F290" i="48"/>
  <c r="F275" i="48"/>
  <c r="F329" i="48"/>
  <c r="F296" i="48"/>
  <c r="F294" i="48"/>
  <c r="F302" i="48"/>
  <c r="F319" i="48"/>
  <c r="D27" i="48"/>
  <c r="F276" i="48"/>
  <c r="F291" i="48"/>
  <c r="F323" i="48"/>
  <c r="F297" i="48"/>
  <c r="F322" i="48"/>
  <c r="N332" i="46"/>
  <c r="F277" i="48"/>
  <c r="F292" i="48"/>
  <c r="F264" i="48"/>
  <c r="F301" i="48"/>
  <c r="F326" i="48"/>
  <c r="N332" i="47"/>
  <c r="F293" i="48"/>
  <c r="F298" i="48"/>
  <c r="F318" i="48"/>
  <c r="F273" i="48"/>
  <c r="F327" i="48"/>
  <c r="N333" i="47"/>
  <c r="N333" i="46"/>
  <c r="F333" i="48"/>
  <c r="N334" i="46"/>
  <c r="N331" i="46"/>
  <c r="N331" i="47"/>
  <c r="D2" i="48"/>
  <c r="F261" i="48"/>
  <c r="L29" i="47"/>
  <c r="L30" i="47"/>
  <c r="L31" i="47"/>
  <c r="L32" i="47"/>
  <c r="L33" i="47"/>
  <c r="L34" i="47"/>
  <c r="L35" i="47"/>
  <c r="L36" i="47"/>
  <c r="L37" i="47"/>
  <c r="L38" i="47"/>
  <c r="L39" i="47"/>
  <c r="L40" i="47"/>
  <c r="L41" i="47"/>
  <c r="L42" i="47"/>
  <c r="L43" i="47"/>
  <c r="L44" i="47"/>
  <c r="L45" i="47"/>
  <c r="L46" i="47"/>
  <c r="L47" i="47"/>
  <c r="L49" i="47"/>
  <c r="L50" i="47"/>
  <c r="L51" i="47"/>
  <c r="L53" i="47"/>
  <c r="L54" i="47"/>
  <c r="L55" i="47"/>
  <c r="L56" i="47"/>
  <c r="L57" i="47"/>
  <c r="L58" i="47"/>
  <c r="L59" i="47"/>
  <c r="L60" i="47"/>
  <c r="L61" i="47"/>
  <c r="L62" i="47"/>
  <c r="L63" i="47"/>
  <c r="L64" i="47"/>
  <c r="L65" i="47"/>
  <c r="L66" i="47"/>
  <c r="L67" i="47"/>
  <c r="L68" i="47"/>
  <c r="L69" i="47"/>
  <c r="L71" i="47"/>
  <c r="L72" i="47"/>
  <c r="L73" i="47"/>
  <c r="L74" i="47"/>
  <c r="L75" i="47"/>
  <c r="L76" i="47"/>
  <c r="L77" i="47"/>
  <c r="L78" i="47"/>
  <c r="L79" i="47"/>
  <c r="L80" i="47"/>
  <c r="L81" i="47"/>
  <c r="L82" i="47"/>
  <c r="L83" i="47"/>
  <c r="L84" i="47"/>
  <c r="L89" i="47"/>
  <c r="L90" i="47"/>
  <c r="L91" i="47"/>
  <c r="L92" i="47"/>
  <c r="L93" i="47"/>
  <c r="L94" i="47"/>
  <c r="L95" i="47"/>
  <c r="L96" i="47"/>
  <c r="L97" i="47"/>
  <c r="L98" i="47"/>
  <c r="L99" i="47"/>
  <c r="L101" i="47"/>
  <c r="L102" i="47"/>
  <c r="L103" i="47"/>
  <c r="L104" i="47"/>
  <c r="L105" i="47"/>
  <c r="L106" i="47"/>
  <c r="L107" i="47"/>
  <c r="L108" i="47"/>
  <c r="L109" i="47"/>
  <c r="L110" i="47"/>
  <c r="L111" i="47"/>
  <c r="L112" i="47"/>
  <c r="L113" i="47"/>
  <c r="L114" i="47"/>
  <c r="L115" i="47"/>
  <c r="L116" i="47"/>
  <c r="L117" i="47"/>
  <c r="L118" i="47"/>
  <c r="L119" i="47"/>
  <c r="L120" i="47"/>
  <c r="L121" i="47"/>
  <c r="L122" i="47"/>
  <c r="L123" i="47"/>
  <c r="L124" i="47"/>
  <c r="L125" i="47"/>
  <c r="L126" i="47"/>
  <c r="L127" i="47"/>
  <c r="L128" i="47"/>
  <c r="L129" i="47"/>
  <c r="L130" i="47"/>
  <c r="L132" i="47"/>
  <c r="L133" i="47"/>
  <c r="L134" i="47"/>
  <c r="L135" i="47"/>
  <c r="L136" i="47"/>
  <c r="L137" i="47"/>
  <c r="L138" i="47"/>
  <c r="L139" i="47"/>
  <c r="L140" i="47"/>
  <c r="L141" i="47"/>
  <c r="L142" i="47"/>
  <c r="L143" i="47"/>
  <c r="L144" i="47"/>
  <c r="L146" i="47"/>
  <c r="L147" i="47"/>
  <c r="L148" i="47"/>
  <c r="L149" i="47"/>
  <c r="L150" i="47"/>
  <c r="L151" i="47"/>
  <c r="L152" i="47"/>
  <c r="L153" i="47"/>
  <c r="L154" i="47"/>
  <c r="L155" i="47"/>
  <c r="L156" i="47"/>
  <c r="L157" i="47"/>
  <c r="L158" i="47"/>
  <c r="L159" i="47"/>
  <c r="L160" i="47"/>
  <c r="L161" i="47"/>
  <c r="L162" i="47"/>
  <c r="L163" i="47"/>
  <c r="L164" i="47"/>
  <c r="L165" i="47"/>
  <c r="L166" i="47"/>
  <c r="L168" i="47"/>
  <c r="L169" i="47"/>
  <c r="L170" i="47"/>
  <c r="L171" i="47"/>
  <c r="L172" i="47"/>
  <c r="L173" i="47"/>
  <c r="L174" i="47"/>
  <c r="L175" i="47"/>
  <c r="L176" i="47"/>
  <c r="L177" i="47"/>
  <c r="L178" i="47"/>
  <c r="L179" i="47"/>
  <c r="L180" i="47"/>
  <c r="L181" i="47"/>
  <c r="L183" i="47"/>
  <c r="L184" i="47"/>
  <c r="L185" i="47"/>
  <c r="L186" i="47"/>
  <c r="L187" i="47"/>
  <c r="L188" i="47"/>
  <c r="L189" i="47"/>
  <c r="L190" i="47"/>
  <c r="L191" i="47"/>
  <c r="L192" i="47"/>
  <c r="L193" i="47"/>
  <c r="L194" i="47"/>
  <c r="L195" i="47"/>
  <c r="L196" i="47"/>
  <c r="L197" i="47"/>
  <c r="L198" i="47"/>
  <c r="L199" i="47"/>
  <c r="L201" i="47"/>
  <c r="L202" i="47"/>
  <c r="L203" i="47"/>
  <c r="L204" i="47"/>
  <c r="L205" i="47"/>
  <c r="L206" i="47"/>
  <c r="L207" i="47"/>
  <c r="L208" i="47"/>
  <c r="L209" i="47"/>
  <c r="L210" i="47"/>
  <c r="L211" i="47"/>
  <c r="L213" i="47"/>
  <c r="L214" i="47"/>
  <c r="L215" i="47"/>
  <c r="L216" i="47"/>
  <c r="L217" i="47"/>
  <c r="L218" i="47"/>
  <c r="L219" i="47"/>
  <c r="L220" i="47"/>
  <c r="L221" i="47"/>
  <c r="L222" i="47"/>
  <c r="L223" i="47"/>
  <c r="L224" i="47"/>
  <c r="L225" i="47"/>
  <c r="L226" i="47"/>
  <c r="L227" i="47"/>
  <c r="L228" i="47"/>
  <c r="L229" i="47"/>
  <c r="L230" i="47"/>
  <c r="L232" i="47"/>
  <c r="L233" i="47"/>
  <c r="L234" i="47"/>
  <c r="L235" i="47"/>
  <c r="L240" i="47"/>
  <c r="L241" i="47"/>
  <c r="L242" i="47"/>
  <c r="L243" i="47"/>
  <c r="L244" i="47"/>
  <c r="L245" i="47"/>
  <c r="L246" i="47"/>
  <c r="L247" i="47"/>
  <c r="L249" i="47"/>
  <c r="L250" i="47"/>
  <c r="L251" i="47"/>
  <c r="L252" i="47"/>
  <c r="L253" i="47"/>
  <c r="L254" i="47"/>
  <c r="L255" i="47"/>
  <c r="L256" i="47"/>
  <c r="L257" i="47"/>
  <c r="L258" i="47"/>
  <c r="L259" i="47"/>
  <c r="L260" i="47"/>
  <c r="L262" i="47"/>
  <c r="L263" i="47"/>
  <c r="L264" i="47"/>
  <c r="L265" i="47"/>
  <c r="L266" i="47"/>
  <c r="L267" i="47"/>
  <c r="L268" i="47"/>
  <c r="L269" i="47"/>
  <c r="L270" i="47"/>
  <c r="L271" i="47"/>
  <c r="L274" i="47"/>
  <c r="L275" i="47"/>
  <c r="L276" i="47"/>
  <c r="L277" i="47"/>
  <c r="L278" i="47"/>
  <c r="L279" i="47"/>
  <c r="L280" i="47"/>
  <c r="L281" i="47"/>
  <c r="L282" i="47"/>
  <c r="L283" i="47"/>
  <c r="L284" i="47"/>
  <c r="L285" i="47"/>
  <c r="L286" i="47"/>
  <c r="L287" i="47"/>
  <c r="L288" i="47"/>
  <c r="L289" i="47"/>
  <c r="L290" i="47"/>
  <c r="L291" i="47"/>
  <c r="L292" i="47"/>
  <c r="L293" i="47"/>
  <c r="L295" i="47"/>
  <c r="L296" i="47"/>
  <c r="L297" i="47"/>
  <c r="L298" i="47"/>
  <c r="L299" i="47"/>
  <c r="L300" i="47"/>
  <c r="L301" i="47"/>
  <c r="L302" i="47"/>
  <c r="L303" i="47"/>
  <c r="L304" i="47"/>
  <c r="L305" i="47"/>
  <c r="L306" i="47"/>
  <c r="L307" i="47"/>
  <c r="L308" i="47"/>
  <c r="L309" i="47"/>
  <c r="L310" i="47"/>
  <c r="L311" i="47"/>
  <c r="L312" i="47"/>
  <c r="L313" i="47"/>
  <c r="L314" i="47"/>
  <c r="L316" i="47"/>
  <c r="L317" i="47"/>
  <c r="L318" i="47"/>
  <c r="L319" i="47"/>
  <c r="L320" i="47"/>
  <c r="L321" i="47"/>
  <c r="L323" i="47"/>
  <c r="L324" i="47"/>
  <c r="L325" i="47"/>
  <c r="L326" i="47"/>
  <c r="L327" i="47"/>
  <c r="L328" i="47"/>
  <c r="L329" i="47"/>
  <c r="L337" i="47"/>
  <c r="L338" i="47"/>
  <c r="L339" i="47"/>
  <c r="L341" i="47"/>
  <c r="L342" i="47"/>
  <c r="K29" i="47"/>
  <c r="K30" i="47"/>
  <c r="K31" i="47"/>
  <c r="K32" i="47"/>
  <c r="K33" i="47"/>
  <c r="K34" i="47"/>
  <c r="K35" i="47"/>
  <c r="K36" i="47"/>
  <c r="K37" i="47"/>
  <c r="K38" i="47"/>
  <c r="K39" i="47"/>
  <c r="K40" i="47"/>
  <c r="K41" i="47"/>
  <c r="K42" i="47"/>
  <c r="K43" i="47"/>
  <c r="K44" i="47"/>
  <c r="K45" i="47"/>
  <c r="K46" i="47"/>
  <c r="K47" i="47"/>
  <c r="K49" i="47"/>
  <c r="K50" i="47"/>
  <c r="K51" i="47"/>
  <c r="K53" i="47"/>
  <c r="K54" i="47"/>
  <c r="K55" i="47"/>
  <c r="K56" i="47"/>
  <c r="K57" i="47"/>
  <c r="K58" i="47"/>
  <c r="K59" i="47"/>
  <c r="K60" i="47"/>
  <c r="K61" i="47"/>
  <c r="K62" i="47"/>
  <c r="K63" i="47"/>
  <c r="K64" i="47"/>
  <c r="K65" i="47"/>
  <c r="K66" i="47"/>
  <c r="K67" i="47"/>
  <c r="K68" i="47"/>
  <c r="K69" i="47"/>
  <c r="K71" i="47"/>
  <c r="K72" i="47"/>
  <c r="K73" i="47"/>
  <c r="K74" i="47"/>
  <c r="K75" i="47"/>
  <c r="K76" i="47"/>
  <c r="K77" i="47"/>
  <c r="K78" i="47"/>
  <c r="K79" i="47"/>
  <c r="K80" i="47"/>
  <c r="K81" i="47"/>
  <c r="K82" i="47"/>
  <c r="K83" i="47"/>
  <c r="K84" i="47"/>
  <c r="K89" i="47"/>
  <c r="K90" i="47"/>
  <c r="K91" i="47"/>
  <c r="K92" i="47"/>
  <c r="K93" i="47"/>
  <c r="K94" i="47"/>
  <c r="K95" i="47"/>
  <c r="K96" i="47"/>
  <c r="K97" i="47"/>
  <c r="K98" i="47"/>
  <c r="K99" i="47"/>
  <c r="K101" i="47"/>
  <c r="K102" i="47"/>
  <c r="K103" i="47"/>
  <c r="K104" i="47"/>
  <c r="K105" i="47"/>
  <c r="K106" i="47"/>
  <c r="K107" i="47"/>
  <c r="K108" i="47"/>
  <c r="K109" i="47"/>
  <c r="K110" i="47"/>
  <c r="K111" i="47"/>
  <c r="K112" i="47"/>
  <c r="K113" i="47"/>
  <c r="K114" i="47"/>
  <c r="K115" i="47"/>
  <c r="K116" i="47"/>
  <c r="K117" i="47"/>
  <c r="K118" i="47"/>
  <c r="K119" i="47"/>
  <c r="K120" i="47"/>
  <c r="K121" i="47"/>
  <c r="K122" i="47"/>
  <c r="K123" i="47"/>
  <c r="K124" i="47"/>
  <c r="K125" i="47"/>
  <c r="K126" i="47"/>
  <c r="K127" i="47"/>
  <c r="K128" i="47"/>
  <c r="K129" i="47"/>
  <c r="K130" i="47"/>
  <c r="K132" i="47"/>
  <c r="K133" i="47"/>
  <c r="K134" i="47"/>
  <c r="K135" i="47"/>
  <c r="K136" i="47"/>
  <c r="K137" i="47"/>
  <c r="K138" i="47"/>
  <c r="K139" i="47"/>
  <c r="K140" i="47"/>
  <c r="K141" i="47"/>
  <c r="K142" i="47"/>
  <c r="K143" i="47"/>
  <c r="K144" i="47"/>
  <c r="K146" i="47"/>
  <c r="K147" i="47"/>
  <c r="K148" i="47"/>
  <c r="K149" i="47"/>
  <c r="K150" i="47"/>
  <c r="K151" i="47"/>
  <c r="K152" i="47"/>
  <c r="K153" i="47"/>
  <c r="K154" i="47"/>
  <c r="K155" i="47"/>
  <c r="K156" i="47"/>
  <c r="K157" i="47"/>
  <c r="K158" i="47"/>
  <c r="K159" i="47"/>
  <c r="K160" i="47"/>
  <c r="K161" i="47"/>
  <c r="K162" i="47"/>
  <c r="K163" i="47"/>
  <c r="K164" i="47"/>
  <c r="K165" i="47"/>
  <c r="K166" i="47"/>
  <c r="K168" i="47"/>
  <c r="K169" i="47"/>
  <c r="K170" i="47"/>
  <c r="K171" i="47"/>
  <c r="K172" i="47"/>
  <c r="K173" i="47"/>
  <c r="K174" i="47"/>
  <c r="K175" i="47"/>
  <c r="K176" i="47"/>
  <c r="K177" i="47"/>
  <c r="K178" i="47"/>
  <c r="K179" i="47"/>
  <c r="K180" i="47"/>
  <c r="K181" i="47"/>
  <c r="K183" i="47"/>
  <c r="K184" i="47"/>
  <c r="K185" i="47"/>
  <c r="K186" i="47"/>
  <c r="K187" i="47"/>
  <c r="K188" i="47"/>
  <c r="K189" i="47"/>
  <c r="K190" i="47"/>
  <c r="K191" i="47"/>
  <c r="K192" i="47"/>
  <c r="K193" i="47"/>
  <c r="K194" i="47"/>
  <c r="K195" i="47"/>
  <c r="K196" i="47"/>
  <c r="K197" i="47"/>
  <c r="K198" i="47"/>
  <c r="K199" i="47"/>
  <c r="K201" i="47"/>
  <c r="K202" i="47"/>
  <c r="K203" i="47"/>
  <c r="K204" i="47"/>
  <c r="K205" i="47"/>
  <c r="K206" i="47"/>
  <c r="K207" i="47"/>
  <c r="K208" i="47"/>
  <c r="K209" i="47"/>
  <c r="K210" i="47"/>
  <c r="K211" i="47"/>
  <c r="K213" i="47"/>
  <c r="K214" i="47"/>
  <c r="K215" i="47"/>
  <c r="K216" i="47"/>
  <c r="K217" i="47"/>
  <c r="K218" i="47"/>
  <c r="K219" i="47"/>
  <c r="K220" i="47"/>
  <c r="K221" i="47"/>
  <c r="K222" i="47"/>
  <c r="K223" i="47"/>
  <c r="K224" i="47"/>
  <c r="K225" i="47"/>
  <c r="K226" i="47"/>
  <c r="K227" i="47"/>
  <c r="K228" i="47"/>
  <c r="K229" i="47"/>
  <c r="K230" i="47"/>
  <c r="K232" i="47"/>
  <c r="K233" i="47"/>
  <c r="K234" i="47"/>
  <c r="K235" i="47"/>
  <c r="K240" i="47"/>
  <c r="K241" i="47"/>
  <c r="K242" i="47"/>
  <c r="K243" i="47"/>
  <c r="K244" i="47"/>
  <c r="K245" i="47"/>
  <c r="K246" i="47"/>
  <c r="K247" i="47"/>
  <c r="K249" i="47"/>
  <c r="K250" i="47"/>
  <c r="K251" i="47"/>
  <c r="K252" i="47"/>
  <c r="K253" i="47"/>
  <c r="K254" i="47"/>
  <c r="K255" i="47"/>
  <c r="K256" i="47"/>
  <c r="K257" i="47"/>
  <c r="K258" i="47"/>
  <c r="K259" i="47"/>
  <c r="K260" i="47"/>
  <c r="K262" i="47"/>
  <c r="K263" i="47"/>
  <c r="K264" i="47"/>
  <c r="K265" i="47"/>
  <c r="K266" i="47"/>
  <c r="K267" i="47"/>
  <c r="K268" i="47"/>
  <c r="K269" i="47"/>
  <c r="K270" i="47"/>
  <c r="K271" i="47"/>
  <c r="K274" i="47"/>
  <c r="K275" i="47"/>
  <c r="K276" i="47"/>
  <c r="K277" i="47"/>
  <c r="K278" i="47"/>
  <c r="K279" i="47"/>
  <c r="K280" i="47"/>
  <c r="K281" i="47"/>
  <c r="K282" i="47"/>
  <c r="K283" i="47"/>
  <c r="K284" i="47"/>
  <c r="K285" i="47"/>
  <c r="K286" i="47"/>
  <c r="K287" i="47"/>
  <c r="K288" i="47"/>
  <c r="K289" i="47"/>
  <c r="K290" i="47"/>
  <c r="K291" i="47"/>
  <c r="K292" i="47"/>
  <c r="K293" i="47"/>
  <c r="K295" i="47"/>
  <c r="K296" i="47"/>
  <c r="K297" i="47"/>
  <c r="K298" i="47"/>
  <c r="K299" i="47"/>
  <c r="K300" i="47"/>
  <c r="K301" i="47"/>
  <c r="K302" i="47"/>
  <c r="K303" i="47"/>
  <c r="K304" i="47"/>
  <c r="K305" i="47"/>
  <c r="K306" i="47"/>
  <c r="K307" i="47"/>
  <c r="K308" i="47"/>
  <c r="K309" i="47"/>
  <c r="K310" i="47"/>
  <c r="K311" i="47"/>
  <c r="K312" i="47"/>
  <c r="K313" i="47"/>
  <c r="K314" i="47"/>
  <c r="K316" i="47"/>
  <c r="K317" i="47"/>
  <c r="K318" i="47"/>
  <c r="K319" i="47"/>
  <c r="K320" i="47"/>
  <c r="K321" i="47"/>
  <c r="K323" i="47"/>
  <c r="K324" i="47"/>
  <c r="K325" i="47"/>
  <c r="K326" i="47"/>
  <c r="K327" i="47"/>
  <c r="K328" i="47"/>
  <c r="K329" i="47"/>
  <c r="K337" i="47"/>
  <c r="K338" i="47"/>
  <c r="K341" i="47"/>
  <c r="K342" i="47"/>
  <c r="J29" i="47"/>
  <c r="J30" i="47"/>
  <c r="J31" i="47"/>
  <c r="J32" i="47"/>
  <c r="J33" i="47"/>
  <c r="J34" i="47"/>
  <c r="J37" i="47"/>
  <c r="J38" i="47"/>
  <c r="J39" i="47"/>
  <c r="J40" i="47"/>
  <c r="J41" i="47"/>
  <c r="J42" i="47"/>
  <c r="J43" i="47"/>
  <c r="J44" i="47"/>
  <c r="J45" i="47"/>
  <c r="J46" i="47"/>
  <c r="J47" i="47"/>
  <c r="J49" i="47"/>
  <c r="J50" i="47"/>
  <c r="J51" i="47"/>
  <c r="J53" i="47"/>
  <c r="J54" i="47"/>
  <c r="J56" i="47"/>
  <c r="J57" i="47"/>
  <c r="J58" i="47"/>
  <c r="J59" i="47"/>
  <c r="J61" i="47"/>
  <c r="J62" i="47"/>
  <c r="J63" i="47"/>
  <c r="J64" i="47"/>
  <c r="J65" i="47"/>
  <c r="J66" i="47"/>
  <c r="J67" i="47"/>
  <c r="J68" i="47"/>
  <c r="J69" i="47"/>
  <c r="J71" i="47"/>
  <c r="J72" i="47"/>
  <c r="J73" i="47"/>
  <c r="J74" i="47"/>
  <c r="J75" i="47"/>
  <c r="J76" i="47"/>
  <c r="J77" i="47"/>
  <c r="J78" i="47"/>
  <c r="J79" i="47"/>
  <c r="J80" i="47"/>
  <c r="J81" i="47"/>
  <c r="J82" i="47"/>
  <c r="J83" i="47"/>
  <c r="J84" i="47"/>
  <c r="J89" i="47"/>
  <c r="J90" i="47"/>
  <c r="J91" i="47"/>
  <c r="J92" i="47"/>
  <c r="J93" i="47"/>
  <c r="J94" i="47"/>
  <c r="J95" i="47"/>
  <c r="J96" i="47"/>
  <c r="J97" i="47"/>
  <c r="J98" i="47"/>
  <c r="J99" i="47"/>
  <c r="J101" i="47"/>
  <c r="J102" i="47"/>
  <c r="J103" i="47"/>
  <c r="J104" i="47"/>
  <c r="J105" i="47"/>
  <c r="J106" i="47"/>
  <c r="J107" i="47"/>
  <c r="J108" i="47"/>
  <c r="J109" i="47"/>
  <c r="J111" i="47"/>
  <c r="J112" i="47"/>
  <c r="J113" i="47"/>
  <c r="J114" i="47"/>
  <c r="J115" i="47"/>
  <c r="J116" i="47"/>
  <c r="J117" i="47"/>
  <c r="J118" i="47"/>
  <c r="J119" i="47"/>
  <c r="J120" i="47"/>
  <c r="J121" i="47"/>
  <c r="J122" i="47"/>
  <c r="J123" i="47"/>
  <c r="J124" i="47"/>
  <c r="J125" i="47"/>
  <c r="J126" i="47"/>
  <c r="J127" i="47"/>
  <c r="J128" i="47"/>
  <c r="J129" i="47"/>
  <c r="J130" i="47"/>
  <c r="J132" i="47"/>
  <c r="J133" i="47"/>
  <c r="J134" i="47"/>
  <c r="J135" i="47"/>
  <c r="J136" i="47"/>
  <c r="J137" i="47"/>
  <c r="J138" i="47"/>
  <c r="J139" i="47"/>
  <c r="J140" i="47"/>
  <c r="J141" i="47"/>
  <c r="J142" i="47"/>
  <c r="J143" i="47"/>
  <c r="J144" i="47"/>
  <c r="J146" i="47"/>
  <c r="J147" i="47"/>
  <c r="J148" i="47"/>
  <c r="J149" i="47"/>
  <c r="J150" i="47"/>
  <c r="J151" i="47"/>
  <c r="J152" i="47"/>
  <c r="J153" i="47"/>
  <c r="J154" i="47"/>
  <c r="J155" i="47"/>
  <c r="J156" i="47"/>
  <c r="J157" i="47"/>
  <c r="J158" i="47"/>
  <c r="J159" i="47"/>
  <c r="J160" i="47"/>
  <c r="J161" i="47"/>
  <c r="J162" i="47"/>
  <c r="J163" i="47"/>
  <c r="J164" i="47"/>
  <c r="J165" i="47"/>
  <c r="J166" i="47"/>
  <c r="J168" i="47"/>
  <c r="J169" i="47"/>
  <c r="J170" i="47"/>
  <c r="J171" i="47"/>
  <c r="J172" i="47"/>
  <c r="J173" i="47"/>
  <c r="J174" i="47"/>
  <c r="J175" i="47"/>
  <c r="J176" i="47"/>
  <c r="J177" i="47"/>
  <c r="J178" i="47"/>
  <c r="J179" i="47"/>
  <c r="J180" i="47"/>
  <c r="J181" i="47"/>
  <c r="J183" i="47"/>
  <c r="J184" i="47"/>
  <c r="J185" i="47"/>
  <c r="J186" i="47"/>
  <c r="J187" i="47"/>
  <c r="J188" i="47"/>
  <c r="J189" i="47"/>
  <c r="J191" i="47"/>
  <c r="J192" i="47"/>
  <c r="J193" i="47"/>
  <c r="J194" i="47"/>
  <c r="J195" i="47"/>
  <c r="J196" i="47"/>
  <c r="J197" i="47"/>
  <c r="J198" i="47"/>
  <c r="J199" i="47"/>
  <c r="J201" i="47"/>
  <c r="J202" i="47"/>
  <c r="J203" i="47"/>
  <c r="J204" i="47"/>
  <c r="J205" i="47"/>
  <c r="J206" i="47"/>
  <c r="J207" i="47"/>
  <c r="J208" i="47"/>
  <c r="J209" i="47"/>
  <c r="J210" i="47"/>
  <c r="J211" i="47"/>
  <c r="J213" i="47"/>
  <c r="J214" i="47"/>
  <c r="J215" i="47"/>
  <c r="J216" i="47"/>
  <c r="J217" i="47"/>
  <c r="J218" i="47"/>
  <c r="J219" i="47"/>
  <c r="J220" i="47"/>
  <c r="J221" i="47"/>
  <c r="J222" i="47"/>
  <c r="J223" i="47"/>
  <c r="J224" i="47"/>
  <c r="J225" i="47"/>
  <c r="J226" i="47"/>
  <c r="J227" i="47"/>
  <c r="J228" i="47"/>
  <c r="J229" i="47"/>
  <c r="J230" i="47"/>
  <c r="J232" i="47"/>
  <c r="J233" i="47"/>
  <c r="J234" i="47"/>
  <c r="J235" i="47"/>
  <c r="J240" i="47"/>
  <c r="J241" i="47"/>
  <c r="J242" i="47"/>
  <c r="J243" i="47"/>
  <c r="J244" i="47"/>
  <c r="J245" i="47"/>
  <c r="J246" i="47"/>
  <c r="J247" i="47"/>
  <c r="J249" i="47"/>
  <c r="J250" i="47"/>
  <c r="J251" i="47"/>
  <c r="J252" i="47"/>
  <c r="J253" i="47"/>
  <c r="J254" i="47"/>
  <c r="J255" i="47"/>
  <c r="J256" i="47"/>
  <c r="J257" i="47"/>
  <c r="J258" i="47"/>
  <c r="J259" i="47"/>
  <c r="J260" i="47"/>
  <c r="J262" i="47"/>
  <c r="J263" i="47"/>
  <c r="J264" i="47"/>
  <c r="J265" i="47"/>
  <c r="J266" i="47"/>
  <c r="J267" i="47"/>
  <c r="J268" i="47"/>
  <c r="J269" i="47"/>
  <c r="J270" i="47"/>
  <c r="J271" i="47"/>
  <c r="J274" i="47"/>
  <c r="J275" i="47"/>
  <c r="J276" i="47"/>
  <c r="J277" i="47"/>
  <c r="J278" i="47"/>
  <c r="J279" i="47"/>
  <c r="J280" i="47"/>
  <c r="J281" i="47"/>
  <c r="J282" i="47"/>
  <c r="J283" i="47"/>
  <c r="J284" i="47"/>
  <c r="J285" i="47"/>
  <c r="J286" i="47"/>
  <c r="J287" i="47"/>
  <c r="J288" i="47"/>
  <c r="J289" i="47"/>
  <c r="J290" i="47"/>
  <c r="J291" i="47"/>
  <c r="J292" i="47"/>
  <c r="J293" i="47"/>
  <c r="J295" i="47"/>
  <c r="J296" i="47"/>
  <c r="J297" i="47"/>
  <c r="J298" i="47"/>
  <c r="J299" i="47"/>
  <c r="J300" i="47"/>
  <c r="J301" i="47"/>
  <c r="J302" i="47"/>
  <c r="J303" i="47"/>
  <c r="J304" i="47"/>
  <c r="J305" i="47"/>
  <c r="J306" i="47"/>
  <c r="J307" i="47"/>
  <c r="J308" i="47"/>
  <c r="J309" i="47"/>
  <c r="J310" i="47"/>
  <c r="J311" i="47"/>
  <c r="J312" i="47"/>
  <c r="J313" i="47"/>
  <c r="J314" i="47"/>
  <c r="J316" i="47"/>
  <c r="J317" i="47"/>
  <c r="J318" i="47"/>
  <c r="J319" i="47"/>
  <c r="J320" i="47"/>
  <c r="J321" i="47"/>
  <c r="J323" i="47"/>
  <c r="J324" i="47"/>
  <c r="J325" i="47"/>
  <c r="J326" i="47"/>
  <c r="J327" i="47"/>
  <c r="J328" i="47"/>
  <c r="J329" i="47"/>
  <c r="J337" i="47"/>
  <c r="J338" i="47"/>
  <c r="J339" i="47"/>
  <c r="J342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I46" i="47"/>
  <c r="I47" i="47"/>
  <c r="I49" i="47"/>
  <c r="I50" i="47"/>
  <c r="I51" i="47"/>
  <c r="I53" i="47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I68" i="47"/>
  <c r="I69" i="47"/>
  <c r="I71" i="47"/>
  <c r="I72" i="47"/>
  <c r="I73" i="47"/>
  <c r="I74" i="47"/>
  <c r="I75" i="47"/>
  <c r="I76" i="47"/>
  <c r="I77" i="47"/>
  <c r="I78" i="47"/>
  <c r="I79" i="47"/>
  <c r="I80" i="47"/>
  <c r="I81" i="47"/>
  <c r="I82" i="47"/>
  <c r="I83" i="47"/>
  <c r="I84" i="47"/>
  <c r="I89" i="47"/>
  <c r="I90" i="47"/>
  <c r="I91" i="47"/>
  <c r="I92" i="47"/>
  <c r="I93" i="47"/>
  <c r="I94" i="47"/>
  <c r="I95" i="47"/>
  <c r="I96" i="47"/>
  <c r="I97" i="47"/>
  <c r="I98" i="47"/>
  <c r="I99" i="47"/>
  <c r="I101" i="47"/>
  <c r="I102" i="47"/>
  <c r="I103" i="47"/>
  <c r="I104" i="47"/>
  <c r="I105" i="47"/>
  <c r="I106" i="47"/>
  <c r="I107" i="47"/>
  <c r="I108" i="47"/>
  <c r="I109" i="47"/>
  <c r="I110" i="47"/>
  <c r="I111" i="47"/>
  <c r="I112" i="47"/>
  <c r="I113" i="47"/>
  <c r="I114" i="47"/>
  <c r="I115" i="47"/>
  <c r="I116" i="47"/>
  <c r="I117" i="47"/>
  <c r="I118" i="47"/>
  <c r="I119" i="47"/>
  <c r="I120" i="47"/>
  <c r="I121" i="47"/>
  <c r="I122" i="47"/>
  <c r="I123" i="47"/>
  <c r="I124" i="47"/>
  <c r="I125" i="47"/>
  <c r="I126" i="47"/>
  <c r="I127" i="47"/>
  <c r="I128" i="47"/>
  <c r="I129" i="47"/>
  <c r="I130" i="47"/>
  <c r="I132" i="47"/>
  <c r="I133" i="47"/>
  <c r="I134" i="47"/>
  <c r="I135" i="47"/>
  <c r="I136" i="47"/>
  <c r="I137" i="47"/>
  <c r="I138" i="47"/>
  <c r="I139" i="47"/>
  <c r="I140" i="47"/>
  <c r="I141" i="47"/>
  <c r="I142" i="47"/>
  <c r="I143" i="47"/>
  <c r="I144" i="47"/>
  <c r="I146" i="47"/>
  <c r="I147" i="47"/>
  <c r="I148" i="47"/>
  <c r="I149" i="47"/>
  <c r="I150" i="47"/>
  <c r="I151" i="47"/>
  <c r="I152" i="47"/>
  <c r="I153" i="47"/>
  <c r="I154" i="47"/>
  <c r="I155" i="47"/>
  <c r="I156" i="47"/>
  <c r="I157" i="47"/>
  <c r="I158" i="47"/>
  <c r="I159" i="47"/>
  <c r="I160" i="47"/>
  <c r="I161" i="47"/>
  <c r="I162" i="47"/>
  <c r="I163" i="47"/>
  <c r="I164" i="47"/>
  <c r="I165" i="47"/>
  <c r="I166" i="47"/>
  <c r="I168" i="47"/>
  <c r="I169" i="47"/>
  <c r="I170" i="47"/>
  <c r="I171" i="47"/>
  <c r="I172" i="47"/>
  <c r="I173" i="47"/>
  <c r="I174" i="47"/>
  <c r="I175" i="47"/>
  <c r="I176" i="47"/>
  <c r="I177" i="47"/>
  <c r="I178" i="47"/>
  <c r="I179" i="47"/>
  <c r="I180" i="47"/>
  <c r="I181" i="47"/>
  <c r="I183" i="47"/>
  <c r="I184" i="47"/>
  <c r="I185" i="47"/>
  <c r="I186" i="47"/>
  <c r="I187" i="47"/>
  <c r="I188" i="47"/>
  <c r="I189" i="47"/>
  <c r="I190" i="47"/>
  <c r="I191" i="47"/>
  <c r="I192" i="47"/>
  <c r="I193" i="47"/>
  <c r="I194" i="47"/>
  <c r="I195" i="47"/>
  <c r="I196" i="47"/>
  <c r="I197" i="47"/>
  <c r="I198" i="47"/>
  <c r="I199" i="47"/>
  <c r="I201" i="47"/>
  <c r="I202" i="47"/>
  <c r="I203" i="47"/>
  <c r="I204" i="47"/>
  <c r="I205" i="47"/>
  <c r="I206" i="47"/>
  <c r="I207" i="47"/>
  <c r="I208" i="47"/>
  <c r="I209" i="47"/>
  <c r="I210" i="47"/>
  <c r="I211" i="47"/>
  <c r="I213" i="47"/>
  <c r="I214" i="47"/>
  <c r="I215" i="47"/>
  <c r="I216" i="47"/>
  <c r="I217" i="47"/>
  <c r="I218" i="47"/>
  <c r="I219" i="47"/>
  <c r="I220" i="47"/>
  <c r="I221" i="47"/>
  <c r="I222" i="47"/>
  <c r="I223" i="47"/>
  <c r="I224" i="47"/>
  <c r="I225" i="47"/>
  <c r="I226" i="47"/>
  <c r="I227" i="47"/>
  <c r="I228" i="47"/>
  <c r="I229" i="47"/>
  <c r="I230" i="47"/>
  <c r="I231" i="47"/>
  <c r="I232" i="47"/>
  <c r="I233" i="47"/>
  <c r="I234" i="47"/>
  <c r="I235" i="47"/>
  <c r="I240" i="47"/>
  <c r="I241" i="47"/>
  <c r="I242" i="47"/>
  <c r="I243" i="47"/>
  <c r="I244" i="47"/>
  <c r="I245" i="47"/>
  <c r="I246" i="47"/>
  <c r="I247" i="47"/>
  <c r="I249" i="47"/>
  <c r="I250" i="47"/>
  <c r="I251" i="47"/>
  <c r="I252" i="47"/>
  <c r="I253" i="47"/>
  <c r="I254" i="47"/>
  <c r="I255" i="47"/>
  <c r="I256" i="47"/>
  <c r="I257" i="47"/>
  <c r="I258" i="47"/>
  <c r="I259" i="47"/>
  <c r="I260" i="47"/>
  <c r="I262" i="47"/>
  <c r="I263" i="47"/>
  <c r="I264" i="47"/>
  <c r="I265" i="47"/>
  <c r="I266" i="47"/>
  <c r="I267" i="47"/>
  <c r="I268" i="47"/>
  <c r="I269" i="47"/>
  <c r="I270" i="47"/>
  <c r="I271" i="47"/>
  <c r="I274" i="47"/>
  <c r="I275" i="47"/>
  <c r="I276" i="47"/>
  <c r="I277" i="47"/>
  <c r="I278" i="47"/>
  <c r="I279" i="47"/>
  <c r="I280" i="47"/>
  <c r="I281" i="47"/>
  <c r="I282" i="47"/>
  <c r="I283" i="47"/>
  <c r="I284" i="47"/>
  <c r="I285" i="47"/>
  <c r="I286" i="47"/>
  <c r="I287" i="47"/>
  <c r="I288" i="47"/>
  <c r="I289" i="47"/>
  <c r="I290" i="47"/>
  <c r="I291" i="47"/>
  <c r="I292" i="47"/>
  <c r="I293" i="47"/>
  <c r="I295" i="47"/>
  <c r="I296" i="47"/>
  <c r="I297" i="47"/>
  <c r="I298" i="47"/>
  <c r="I299" i="47"/>
  <c r="I300" i="47"/>
  <c r="I301" i="47"/>
  <c r="I302" i="47"/>
  <c r="I303" i="47"/>
  <c r="I304" i="47"/>
  <c r="I305" i="47"/>
  <c r="I306" i="47"/>
  <c r="I307" i="47"/>
  <c r="I308" i="47"/>
  <c r="I309" i="47"/>
  <c r="I310" i="47"/>
  <c r="I311" i="47"/>
  <c r="I312" i="47"/>
  <c r="I313" i="47"/>
  <c r="I314" i="47"/>
  <c r="I316" i="47"/>
  <c r="I317" i="47"/>
  <c r="I318" i="47"/>
  <c r="I319" i="47"/>
  <c r="I320" i="47"/>
  <c r="I321" i="47"/>
  <c r="I323" i="47"/>
  <c r="I324" i="47"/>
  <c r="I325" i="47"/>
  <c r="I326" i="47"/>
  <c r="I327" i="47"/>
  <c r="I328" i="47"/>
  <c r="I329" i="47"/>
  <c r="I337" i="47"/>
  <c r="I338" i="47"/>
  <c r="I339" i="47"/>
  <c r="I341" i="47"/>
  <c r="I342" i="47"/>
  <c r="H342" i="47"/>
  <c r="G342" i="47"/>
  <c r="F342" i="47"/>
  <c r="E342" i="47"/>
  <c r="E341" i="47"/>
  <c r="H339" i="47"/>
  <c r="G339" i="47"/>
  <c r="F339" i="47"/>
  <c r="H338" i="47"/>
  <c r="G338" i="47"/>
  <c r="E338" i="47"/>
  <c r="D338" i="47"/>
  <c r="H337" i="47"/>
  <c r="G337" i="47"/>
  <c r="E337" i="47"/>
  <c r="B336" i="47"/>
  <c r="B335" i="47"/>
  <c r="B334" i="47"/>
  <c r="B333" i="47"/>
  <c r="B332" i="47"/>
  <c r="B331" i="47"/>
  <c r="B330" i="47"/>
  <c r="H329" i="47"/>
  <c r="G329" i="47"/>
  <c r="F329" i="47"/>
  <c r="E329" i="47"/>
  <c r="D329" i="47"/>
  <c r="C329" i="47"/>
  <c r="B329" i="47"/>
  <c r="H328" i="47"/>
  <c r="G328" i="47"/>
  <c r="F328" i="47"/>
  <c r="E328" i="47"/>
  <c r="D328" i="47"/>
  <c r="C328" i="47"/>
  <c r="B328" i="47"/>
  <c r="H327" i="47"/>
  <c r="G327" i="47"/>
  <c r="F327" i="47"/>
  <c r="E327" i="47"/>
  <c r="D327" i="47"/>
  <c r="C327" i="47"/>
  <c r="B327" i="47"/>
  <c r="H326" i="47"/>
  <c r="G326" i="47"/>
  <c r="F326" i="47"/>
  <c r="E326" i="47"/>
  <c r="D326" i="47"/>
  <c r="C326" i="47"/>
  <c r="B326" i="47"/>
  <c r="H325" i="47"/>
  <c r="G325" i="47"/>
  <c r="F325" i="47"/>
  <c r="E325" i="47"/>
  <c r="D325" i="47"/>
  <c r="C325" i="47"/>
  <c r="B325" i="47"/>
  <c r="H324" i="47"/>
  <c r="G324" i="47"/>
  <c r="F324" i="47"/>
  <c r="E324" i="47"/>
  <c r="D324" i="47"/>
  <c r="C324" i="47"/>
  <c r="B324" i="47"/>
  <c r="H323" i="47"/>
  <c r="G323" i="47"/>
  <c r="F323" i="47"/>
  <c r="E323" i="47"/>
  <c r="D323" i="47"/>
  <c r="C323" i="47"/>
  <c r="B323" i="47"/>
  <c r="B322" i="47"/>
  <c r="H321" i="47"/>
  <c r="G321" i="47"/>
  <c r="F321" i="47"/>
  <c r="E321" i="47"/>
  <c r="D321" i="47"/>
  <c r="C321" i="47"/>
  <c r="B321" i="47"/>
  <c r="H320" i="47"/>
  <c r="G320" i="47"/>
  <c r="F320" i="47"/>
  <c r="E320" i="47"/>
  <c r="D320" i="47"/>
  <c r="C320" i="47"/>
  <c r="B320" i="47"/>
  <c r="H319" i="47"/>
  <c r="G319" i="47"/>
  <c r="F319" i="47"/>
  <c r="E319" i="47"/>
  <c r="D319" i="47"/>
  <c r="C319" i="47"/>
  <c r="B319" i="47"/>
  <c r="H318" i="47"/>
  <c r="G318" i="47"/>
  <c r="F318" i="47"/>
  <c r="E318" i="47"/>
  <c r="D318" i="47"/>
  <c r="C318" i="47"/>
  <c r="B318" i="47"/>
  <c r="H317" i="47"/>
  <c r="G317" i="47"/>
  <c r="F317" i="47"/>
  <c r="E317" i="47"/>
  <c r="D317" i="47"/>
  <c r="C317" i="47"/>
  <c r="B317" i="47"/>
  <c r="H316" i="47"/>
  <c r="G316" i="47"/>
  <c r="F316" i="47"/>
  <c r="E316" i="47"/>
  <c r="D316" i="47"/>
  <c r="C316" i="47"/>
  <c r="B316" i="47"/>
  <c r="B315" i="47"/>
  <c r="H314" i="47"/>
  <c r="G314" i="47"/>
  <c r="F314" i="47"/>
  <c r="E314" i="47"/>
  <c r="D314" i="47"/>
  <c r="C314" i="47"/>
  <c r="B314" i="47"/>
  <c r="H313" i="47"/>
  <c r="G313" i="47"/>
  <c r="F313" i="47"/>
  <c r="E313" i="47"/>
  <c r="D313" i="47"/>
  <c r="C313" i="47"/>
  <c r="B313" i="47"/>
  <c r="H312" i="47"/>
  <c r="G312" i="47"/>
  <c r="F312" i="47"/>
  <c r="E312" i="47"/>
  <c r="D312" i="47"/>
  <c r="C312" i="47"/>
  <c r="B312" i="47"/>
  <c r="H311" i="47"/>
  <c r="G311" i="47"/>
  <c r="F311" i="47"/>
  <c r="E311" i="47"/>
  <c r="D311" i="47"/>
  <c r="C311" i="47"/>
  <c r="B311" i="47"/>
  <c r="H310" i="47"/>
  <c r="G310" i="47"/>
  <c r="F310" i="47"/>
  <c r="E310" i="47"/>
  <c r="D310" i="47"/>
  <c r="C310" i="47"/>
  <c r="B310" i="47"/>
  <c r="H309" i="47"/>
  <c r="G309" i="47"/>
  <c r="F309" i="47"/>
  <c r="E309" i="47"/>
  <c r="D309" i="47"/>
  <c r="C309" i="47"/>
  <c r="B309" i="47"/>
  <c r="H308" i="47"/>
  <c r="G308" i="47"/>
  <c r="F308" i="47"/>
  <c r="E308" i="47"/>
  <c r="D308" i="47"/>
  <c r="C308" i="47"/>
  <c r="B308" i="47"/>
  <c r="H307" i="47"/>
  <c r="G307" i="47"/>
  <c r="F307" i="47"/>
  <c r="E307" i="47"/>
  <c r="D307" i="47"/>
  <c r="C307" i="47"/>
  <c r="B307" i="47"/>
  <c r="H306" i="47"/>
  <c r="G306" i="47"/>
  <c r="F306" i="47"/>
  <c r="E306" i="47"/>
  <c r="D306" i="47"/>
  <c r="C306" i="47"/>
  <c r="B306" i="47"/>
  <c r="H305" i="47"/>
  <c r="G305" i="47"/>
  <c r="F305" i="47"/>
  <c r="E305" i="47"/>
  <c r="D305" i="47"/>
  <c r="C305" i="47"/>
  <c r="B305" i="47"/>
  <c r="H304" i="47"/>
  <c r="G304" i="47"/>
  <c r="F304" i="47"/>
  <c r="E304" i="47"/>
  <c r="D304" i="47"/>
  <c r="C304" i="47"/>
  <c r="B304" i="47"/>
  <c r="H303" i="47"/>
  <c r="G303" i="47"/>
  <c r="F303" i="47"/>
  <c r="E303" i="47"/>
  <c r="D303" i="47"/>
  <c r="C303" i="47"/>
  <c r="B303" i="47"/>
  <c r="H302" i="47"/>
  <c r="G302" i="47"/>
  <c r="F302" i="47"/>
  <c r="E302" i="47"/>
  <c r="D302" i="47"/>
  <c r="C302" i="47"/>
  <c r="B302" i="47"/>
  <c r="H301" i="47"/>
  <c r="G301" i="47"/>
  <c r="F301" i="47"/>
  <c r="E301" i="47"/>
  <c r="D301" i="47"/>
  <c r="C301" i="47"/>
  <c r="B301" i="47"/>
  <c r="H300" i="47"/>
  <c r="G300" i="47"/>
  <c r="F300" i="47"/>
  <c r="E300" i="47"/>
  <c r="D300" i="47"/>
  <c r="C300" i="47"/>
  <c r="B300" i="47"/>
  <c r="H299" i="47"/>
  <c r="G299" i="47"/>
  <c r="F299" i="47"/>
  <c r="E299" i="47"/>
  <c r="D299" i="47"/>
  <c r="C299" i="47"/>
  <c r="B299" i="47"/>
  <c r="H298" i="47"/>
  <c r="G298" i="47"/>
  <c r="F298" i="47"/>
  <c r="E298" i="47"/>
  <c r="D298" i="47"/>
  <c r="C298" i="47"/>
  <c r="B298" i="47"/>
  <c r="H297" i="47"/>
  <c r="G297" i="47"/>
  <c r="F297" i="47"/>
  <c r="E297" i="47"/>
  <c r="D297" i="47"/>
  <c r="C297" i="47"/>
  <c r="B297" i="47"/>
  <c r="H296" i="47"/>
  <c r="G296" i="47"/>
  <c r="F296" i="47"/>
  <c r="E296" i="47"/>
  <c r="D296" i="47"/>
  <c r="C296" i="47"/>
  <c r="B296" i="47"/>
  <c r="H295" i="47"/>
  <c r="G295" i="47"/>
  <c r="F295" i="47"/>
  <c r="E295" i="47"/>
  <c r="D295" i="47"/>
  <c r="C295" i="47"/>
  <c r="B295" i="47"/>
  <c r="B294" i="47"/>
  <c r="H293" i="47"/>
  <c r="G293" i="47"/>
  <c r="F293" i="47"/>
  <c r="E293" i="47"/>
  <c r="D293" i="47"/>
  <c r="C293" i="47"/>
  <c r="B293" i="47"/>
  <c r="H292" i="47"/>
  <c r="G292" i="47"/>
  <c r="F292" i="47"/>
  <c r="E292" i="47"/>
  <c r="D292" i="47"/>
  <c r="C292" i="47"/>
  <c r="B292" i="47"/>
  <c r="H291" i="47"/>
  <c r="G291" i="47"/>
  <c r="F291" i="47"/>
  <c r="E291" i="47"/>
  <c r="D291" i="47"/>
  <c r="C291" i="47"/>
  <c r="B291" i="47"/>
  <c r="H290" i="47"/>
  <c r="G290" i="47"/>
  <c r="F290" i="47"/>
  <c r="E290" i="47"/>
  <c r="D290" i="47"/>
  <c r="C290" i="47"/>
  <c r="B290" i="47"/>
  <c r="H289" i="47"/>
  <c r="G289" i="47"/>
  <c r="F289" i="47"/>
  <c r="E289" i="47"/>
  <c r="D289" i="47"/>
  <c r="C289" i="47"/>
  <c r="B289" i="47"/>
  <c r="H288" i="47"/>
  <c r="G288" i="47"/>
  <c r="F288" i="47"/>
  <c r="E288" i="47"/>
  <c r="D288" i="47"/>
  <c r="C288" i="47"/>
  <c r="B288" i="47"/>
  <c r="H287" i="47"/>
  <c r="G287" i="47"/>
  <c r="F287" i="47"/>
  <c r="E287" i="47"/>
  <c r="D287" i="47"/>
  <c r="C287" i="47"/>
  <c r="B287" i="47"/>
  <c r="H286" i="47"/>
  <c r="G286" i="47"/>
  <c r="F286" i="47"/>
  <c r="E286" i="47"/>
  <c r="D286" i="47"/>
  <c r="C286" i="47"/>
  <c r="B286" i="47"/>
  <c r="H285" i="47"/>
  <c r="G285" i="47"/>
  <c r="F285" i="47"/>
  <c r="E285" i="47"/>
  <c r="D285" i="47"/>
  <c r="C285" i="47"/>
  <c r="B285" i="47"/>
  <c r="H284" i="47"/>
  <c r="G284" i="47"/>
  <c r="F284" i="47"/>
  <c r="E284" i="47"/>
  <c r="D284" i="47"/>
  <c r="C284" i="47"/>
  <c r="B284" i="47"/>
  <c r="H283" i="47"/>
  <c r="G283" i="47"/>
  <c r="F283" i="47"/>
  <c r="E283" i="47"/>
  <c r="D283" i="47"/>
  <c r="C283" i="47"/>
  <c r="B283" i="47"/>
  <c r="H282" i="47"/>
  <c r="G282" i="47"/>
  <c r="F282" i="47"/>
  <c r="E282" i="47"/>
  <c r="D282" i="47"/>
  <c r="C282" i="47"/>
  <c r="B282" i="47"/>
  <c r="H281" i="47"/>
  <c r="G281" i="47"/>
  <c r="F281" i="47"/>
  <c r="E281" i="47"/>
  <c r="D281" i="47"/>
  <c r="C281" i="47"/>
  <c r="B281" i="47"/>
  <c r="H280" i="47"/>
  <c r="G280" i="47"/>
  <c r="F280" i="47"/>
  <c r="E280" i="47"/>
  <c r="D280" i="47"/>
  <c r="C280" i="47"/>
  <c r="B280" i="47"/>
  <c r="H279" i="47"/>
  <c r="G279" i="47"/>
  <c r="F279" i="47"/>
  <c r="E279" i="47"/>
  <c r="D279" i="47"/>
  <c r="C279" i="47"/>
  <c r="B279" i="47"/>
  <c r="H278" i="47"/>
  <c r="G278" i="47"/>
  <c r="F278" i="47"/>
  <c r="E278" i="47"/>
  <c r="D278" i="47"/>
  <c r="C278" i="47"/>
  <c r="B278" i="47"/>
  <c r="H277" i="47"/>
  <c r="G277" i="47"/>
  <c r="F277" i="47"/>
  <c r="E277" i="47"/>
  <c r="D277" i="47"/>
  <c r="C277" i="47"/>
  <c r="B277" i="47"/>
  <c r="H276" i="47"/>
  <c r="G276" i="47"/>
  <c r="F276" i="47"/>
  <c r="E276" i="47"/>
  <c r="D276" i="47"/>
  <c r="C276" i="47"/>
  <c r="B276" i="47"/>
  <c r="H275" i="47"/>
  <c r="G275" i="47"/>
  <c r="F275" i="47"/>
  <c r="E275" i="47"/>
  <c r="D275" i="47"/>
  <c r="C275" i="47"/>
  <c r="B275" i="47"/>
  <c r="H274" i="47"/>
  <c r="G274" i="47"/>
  <c r="F274" i="47"/>
  <c r="E274" i="47"/>
  <c r="D274" i="47"/>
  <c r="C274" i="47"/>
  <c r="B274" i="47"/>
  <c r="B273" i="47"/>
  <c r="R272" i="47"/>
  <c r="B272" i="47"/>
  <c r="H271" i="47"/>
  <c r="G271" i="47"/>
  <c r="F271" i="47"/>
  <c r="E271" i="47"/>
  <c r="D271" i="47"/>
  <c r="C271" i="47"/>
  <c r="B271" i="47"/>
  <c r="H270" i="47"/>
  <c r="G270" i="47"/>
  <c r="F270" i="47"/>
  <c r="E270" i="47"/>
  <c r="D270" i="47"/>
  <c r="C270" i="47"/>
  <c r="B270" i="47"/>
  <c r="H269" i="47"/>
  <c r="G269" i="47"/>
  <c r="F269" i="47"/>
  <c r="E269" i="47"/>
  <c r="D269" i="47"/>
  <c r="C269" i="47"/>
  <c r="B269" i="47"/>
  <c r="H268" i="47"/>
  <c r="G268" i="47"/>
  <c r="F268" i="47"/>
  <c r="E268" i="47"/>
  <c r="D268" i="47"/>
  <c r="C268" i="47"/>
  <c r="B268" i="47"/>
  <c r="H267" i="47"/>
  <c r="G267" i="47"/>
  <c r="F267" i="47"/>
  <c r="E267" i="47"/>
  <c r="D267" i="47"/>
  <c r="C267" i="47"/>
  <c r="B267" i="47"/>
  <c r="H266" i="47"/>
  <c r="G266" i="47"/>
  <c r="F266" i="47"/>
  <c r="E266" i="47"/>
  <c r="D266" i="47"/>
  <c r="C266" i="47"/>
  <c r="B266" i="47"/>
  <c r="H265" i="47"/>
  <c r="G265" i="47"/>
  <c r="F265" i="47"/>
  <c r="E265" i="47"/>
  <c r="D265" i="47"/>
  <c r="C265" i="47"/>
  <c r="B265" i="47"/>
  <c r="H264" i="47"/>
  <c r="G264" i="47"/>
  <c r="F264" i="47"/>
  <c r="E264" i="47"/>
  <c r="D264" i="47"/>
  <c r="C264" i="47"/>
  <c r="B264" i="47"/>
  <c r="H263" i="47"/>
  <c r="G263" i="47"/>
  <c r="F263" i="47"/>
  <c r="E263" i="47"/>
  <c r="D263" i="47"/>
  <c r="C263" i="47"/>
  <c r="B263" i="47"/>
  <c r="H262" i="47"/>
  <c r="G262" i="47"/>
  <c r="F262" i="47"/>
  <c r="E262" i="47"/>
  <c r="D262" i="47"/>
  <c r="C262" i="47"/>
  <c r="B262" i="47"/>
  <c r="B261" i="47"/>
  <c r="H260" i="47"/>
  <c r="G260" i="47"/>
  <c r="F260" i="47"/>
  <c r="E260" i="47"/>
  <c r="D260" i="47"/>
  <c r="C260" i="47"/>
  <c r="B260" i="47"/>
  <c r="H259" i="47"/>
  <c r="G259" i="47"/>
  <c r="F259" i="47"/>
  <c r="E259" i="47"/>
  <c r="D259" i="47"/>
  <c r="C259" i="47"/>
  <c r="B259" i="47"/>
  <c r="H258" i="47"/>
  <c r="G258" i="47"/>
  <c r="F258" i="47"/>
  <c r="E258" i="47"/>
  <c r="D258" i="47"/>
  <c r="C258" i="47"/>
  <c r="B258" i="47"/>
  <c r="H257" i="47"/>
  <c r="G257" i="47"/>
  <c r="F257" i="47"/>
  <c r="E257" i="47"/>
  <c r="D257" i="47"/>
  <c r="C257" i="47"/>
  <c r="B257" i="47"/>
  <c r="H256" i="47"/>
  <c r="G256" i="47"/>
  <c r="F256" i="47"/>
  <c r="E256" i="47"/>
  <c r="D256" i="47"/>
  <c r="C256" i="47"/>
  <c r="B256" i="47"/>
  <c r="H255" i="47"/>
  <c r="G255" i="47"/>
  <c r="F255" i="47"/>
  <c r="E255" i="47"/>
  <c r="D255" i="47"/>
  <c r="C255" i="47"/>
  <c r="B255" i="47"/>
  <c r="H254" i="47"/>
  <c r="G254" i="47"/>
  <c r="F254" i="47"/>
  <c r="E254" i="47"/>
  <c r="D254" i="47"/>
  <c r="C254" i="47"/>
  <c r="B254" i="47"/>
  <c r="H253" i="47"/>
  <c r="G253" i="47"/>
  <c r="F253" i="47"/>
  <c r="E253" i="47"/>
  <c r="D253" i="47"/>
  <c r="C253" i="47"/>
  <c r="B253" i="47"/>
  <c r="H252" i="47"/>
  <c r="G252" i="47"/>
  <c r="F252" i="47"/>
  <c r="E252" i="47"/>
  <c r="D252" i="47"/>
  <c r="C252" i="47"/>
  <c r="B252" i="47"/>
  <c r="H251" i="47"/>
  <c r="G251" i="47"/>
  <c r="F251" i="47"/>
  <c r="E251" i="47"/>
  <c r="D251" i="47"/>
  <c r="C251" i="47"/>
  <c r="B251" i="47"/>
  <c r="H250" i="47"/>
  <c r="G250" i="47"/>
  <c r="F250" i="47"/>
  <c r="E250" i="47"/>
  <c r="D250" i="47"/>
  <c r="C250" i="47"/>
  <c r="B250" i="47"/>
  <c r="H249" i="47"/>
  <c r="G249" i="47"/>
  <c r="F249" i="47"/>
  <c r="E249" i="47"/>
  <c r="D249" i="47"/>
  <c r="C249" i="47"/>
  <c r="B249" i="47"/>
  <c r="B248" i="47"/>
  <c r="H247" i="47"/>
  <c r="G247" i="47"/>
  <c r="F247" i="47"/>
  <c r="E247" i="47"/>
  <c r="D247" i="47"/>
  <c r="C247" i="47"/>
  <c r="B247" i="47"/>
  <c r="E246" i="47"/>
  <c r="D246" i="47"/>
  <c r="C246" i="47"/>
  <c r="B246" i="47"/>
  <c r="H245" i="47"/>
  <c r="G245" i="47"/>
  <c r="F245" i="47"/>
  <c r="E245" i="47"/>
  <c r="D245" i="47"/>
  <c r="C245" i="47"/>
  <c r="B245" i="47"/>
  <c r="H244" i="47"/>
  <c r="G244" i="47"/>
  <c r="F244" i="47"/>
  <c r="E244" i="47"/>
  <c r="D244" i="47"/>
  <c r="C244" i="47"/>
  <c r="B244" i="47"/>
  <c r="H243" i="47"/>
  <c r="G243" i="47"/>
  <c r="F243" i="47"/>
  <c r="E243" i="47"/>
  <c r="D243" i="47"/>
  <c r="C243" i="47"/>
  <c r="B243" i="47"/>
  <c r="H242" i="47"/>
  <c r="G242" i="47"/>
  <c r="F242" i="47"/>
  <c r="E242" i="47"/>
  <c r="D242" i="47"/>
  <c r="C242" i="47"/>
  <c r="B242" i="47"/>
  <c r="H241" i="47"/>
  <c r="G241" i="47"/>
  <c r="F241" i="47"/>
  <c r="E241" i="47"/>
  <c r="D241" i="47"/>
  <c r="C241" i="47"/>
  <c r="B241" i="47"/>
  <c r="H240" i="47"/>
  <c r="G240" i="47"/>
  <c r="E240" i="47"/>
  <c r="D240" i="47"/>
  <c r="C240" i="47"/>
  <c r="B240" i="47"/>
  <c r="B239" i="47"/>
  <c r="B238" i="47"/>
  <c r="B237" i="47"/>
  <c r="B236" i="47"/>
  <c r="H235" i="47"/>
  <c r="G235" i="47"/>
  <c r="F235" i="47"/>
  <c r="E235" i="47"/>
  <c r="D235" i="47"/>
  <c r="C235" i="47"/>
  <c r="B235" i="47"/>
  <c r="H234" i="47"/>
  <c r="G234" i="47"/>
  <c r="F234" i="47"/>
  <c r="E234" i="47"/>
  <c r="D234" i="47"/>
  <c r="C234" i="47"/>
  <c r="B234" i="47"/>
  <c r="H233" i="47"/>
  <c r="G233" i="47"/>
  <c r="F233" i="47"/>
  <c r="E233" i="47"/>
  <c r="D233" i="47"/>
  <c r="C233" i="47"/>
  <c r="B233" i="47"/>
  <c r="H232" i="47"/>
  <c r="G232" i="47"/>
  <c r="F232" i="47"/>
  <c r="E232" i="47"/>
  <c r="D232" i="47"/>
  <c r="C232" i="47"/>
  <c r="B232" i="47"/>
  <c r="B231" i="47"/>
  <c r="H230" i="47"/>
  <c r="G230" i="47"/>
  <c r="F230" i="47"/>
  <c r="E230" i="47"/>
  <c r="D230" i="47"/>
  <c r="C230" i="47"/>
  <c r="B230" i="47"/>
  <c r="H229" i="47"/>
  <c r="G229" i="47"/>
  <c r="F229" i="47"/>
  <c r="E229" i="47"/>
  <c r="D229" i="47"/>
  <c r="C229" i="47"/>
  <c r="B229" i="47"/>
  <c r="H228" i="47"/>
  <c r="G228" i="47"/>
  <c r="F228" i="47"/>
  <c r="E228" i="47"/>
  <c r="D228" i="47"/>
  <c r="C228" i="47"/>
  <c r="B228" i="47"/>
  <c r="H227" i="47"/>
  <c r="G227" i="47"/>
  <c r="F227" i="47"/>
  <c r="E227" i="47"/>
  <c r="D227" i="47"/>
  <c r="C227" i="47"/>
  <c r="B227" i="47"/>
  <c r="H226" i="47"/>
  <c r="G226" i="47"/>
  <c r="F226" i="47"/>
  <c r="E226" i="47"/>
  <c r="D226" i="47"/>
  <c r="C226" i="47"/>
  <c r="B226" i="47"/>
  <c r="H225" i="47"/>
  <c r="G225" i="47"/>
  <c r="F225" i="47"/>
  <c r="E225" i="47"/>
  <c r="D225" i="47"/>
  <c r="C225" i="47"/>
  <c r="B225" i="47"/>
  <c r="H224" i="47"/>
  <c r="G224" i="47"/>
  <c r="F224" i="47"/>
  <c r="E224" i="47"/>
  <c r="D224" i="47"/>
  <c r="C224" i="47"/>
  <c r="B224" i="47"/>
  <c r="H223" i="47"/>
  <c r="G223" i="47"/>
  <c r="F223" i="47"/>
  <c r="E223" i="47"/>
  <c r="D223" i="47"/>
  <c r="C223" i="47"/>
  <c r="B223" i="47"/>
  <c r="H222" i="47"/>
  <c r="G222" i="47"/>
  <c r="F222" i="47"/>
  <c r="E222" i="47"/>
  <c r="D222" i="47"/>
  <c r="C222" i="47"/>
  <c r="B222" i="47"/>
  <c r="H221" i="47"/>
  <c r="G221" i="47"/>
  <c r="F221" i="47"/>
  <c r="E221" i="47"/>
  <c r="D221" i="47"/>
  <c r="C221" i="47"/>
  <c r="B221" i="47"/>
  <c r="H220" i="47"/>
  <c r="G220" i="47"/>
  <c r="F220" i="47"/>
  <c r="E220" i="47"/>
  <c r="D220" i="47"/>
  <c r="C220" i="47"/>
  <c r="B220" i="47"/>
  <c r="H219" i="47"/>
  <c r="G219" i="47"/>
  <c r="F219" i="47"/>
  <c r="E219" i="47"/>
  <c r="D219" i="47"/>
  <c r="C219" i="47"/>
  <c r="B219" i="47"/>
  <c r="H218" i="47"/>
  <c r="G218" i="47"/>
  <c r="F218" i="47"/>
  <c r="E218" i="47"/>
  <c r="D218" i="47"/>
  <c r="C218" i="47"/>
  <c r="B218" i="47"/>
  <c r="H217" i="47"/>
  <c r="G217" i="47"/>
  <c r="F217" i="47"/>
  <c r="E217" i="47"/>
  <c r="D217" i="47"/>
  <c r="C217" i="47"/>
  <c r="B217" i="47"/>
  <c r="H216" i="47"/>
  <c r="G216" i="47"/>
  <c r="F216" i="47"/>
  <c r="E216" i="47"/>
  <c r="D216" i="47"/>
  <c r="C216" i="47"/>
  <c r="B216" i="47"/>
  <c r="H215" i="47"/>
  <c r="G215" i="47"/>
  <c r="F215" i="47"/>
  <c r="E215" i="47"/>
  <c r="D215" i="47"/>
  <c r="C215" i="47"/>
  <c r="B215" i="47"/>
  <c r="H214" i="47"/>
  <c r="G214" i="47"/>
  <c r="F214" i="47"/>
  <c r="E214" i="47"/>
  <c r="D214" i="47"/>
  <c r="C214" i="47"/>
  <c r="B214" i="47"/>
  <c r="H213" i="47"/>
  <c r="G213" i="47"/>
  <c r="F213" i="47"/>
  <c r="E213" i="47"/>
  <c r="D213" i="47"/>
  <c r="C213" i="47"/>
  <c r="B213" i="47"/>
  <c r="B212" i="47"/>
  <c r="H211" i="47"/>
  <c r="G211" i="47"/>
  <c r="F211" i="47"/>
  <c r="E211" i="47"/>
  <c r="D211" i="47"/>
  <c r="C211" i="47"/>
  <c r="B211" i="47"/>
  <c r="H210" i="47"/>
  <c r="G210" i="47"/>
  <c r="F210" i="47"/>
  <c r="E210" i="47"/>
  <c r="D210" i="47"/>
  <c r="C210" i="47"/>
  <c r="B210" i="47"/>
  <c r="H209" i="47"/>
  <c r="G209" i="47"/>
  <c r="F209" i="47"/>
  <c r="E209" i="47"/>
  <c r="D209" i="47"/>
  <c r="C209" i="47"/>
  <c r="B209" i="47"/>
  <c r="H208" i="47"/>
  <c r="G208" i="47"/>
  <c r="F208" i="47"/>
  <c r="E208" i="47"/>
  <c r="D208" i="47"/>
  <c r="C208" i="47"/>
  <c r="B208" i="47"/>
  <c r="H207" i="47"/>
  <c r="G207" i="47"/>
  <c r="F207" i="47"/>
  <c r="E207" i="47"/>
  <c r="D207" i="47"/>
  <c r="C207" i="47"/>
  <c r="B207" i="47"/>
  <c r="H206" i="47"/>
  <c r="G206" i="47"/>
  <c r="F206" i="47"/>
  <c r="E206" i="47"/>
  <c r="D206" i="47"/>
  <c r="C206" i="47"/>
  <c r="B206" i="47"/>
  <c r="H205" i="47"/>
  <c r="G205" i="47"/>
  <c r="F205" i="47"/>
  <c r="E205" i="47"/>
  <c r="D205" i="47"/>
  <c r="C205" i="47"/>
  <c r="B205" i="47"/>
  <c r="H204" i="47"/>
  <c r="G204" i="47"/>
  <c r="F204" i="47"/>
  <c r="E204" i="47"/>
  <c r="D204" i="47"/>
  <c r="C204" i="47"/>
  <c r="B204" i="47"/>
  <c r="H203" i="47"/>
  <c r="G203" i="47"/>
  <c r="F203" i="47"/>
  <c r="E203" i="47"/>
  <c r="D203" i="47"/>
  <c r="C203" i="47"/>
  <c r="B203" i="47"/>
  <c r="H202" i="47"/>
  <c r="G202" i="47"/>
  <c r="F202" i="47"/>
  <c r="E202" i="47"/>
  <c r="D202" i="47"/>
  <c r="C202" i="47"/>
  <c r="B202" i="47"/>
  <c r="H201" i="47"/>
  <c r="G201" i="47"/>
  <c r="F201" i="47"/>
  <c r="E201" i="47"/>
  <c r="D201" i="47"/>
  <c r="C201" i="47"/>
  <c r="B201" i="47"/>
  <c r="B200" i="47"/>
  <c r="H199" i="47"/>
  <c r="G199" i="47"/>
  <c r="F199" i="47"/>
  <c r="E199" i="47"/>
  <c r="D199" i="47"/>
  <c r="C199" i="47"/>
  <c r="B199" i="47"/>
  <c r="H198" i="47"/>
  <c r="G198" i="47"/>
  <c r="F198" i="47"/>
  <c r="E198" i="47"/>
  <c r="D198" i="47"/>
  <c r="C198" i="47"/>
  <c r="B198" i="47"/>
  <c r="H197" i="47"/>
  <c r="G197" i="47"/>
  <c r="F197" i="47"/>
  <c r="E197" i="47"/>
  <c r="D197" i="47"/>
  <c r="C197" i="47"/>
  <c r="B197" i="47"/>
  <c r="H196" i="47"/>
  <c r="G196" i="47"/>
  <c r="F196" i="47"/>
  <c r="E196" i="47"/>
  <c r="D196" i="47"/>
  <c r="C196" i="47"/>
  <c r="B196" i="47"/>
  <c r="H195" i="47"/>
  <c r="G195" i="47"/>
  <c r="F195" i="47"/>
  <c r="E195" i="47"/>
  <c r="D195" i="47"/>
  <c r="C195" i="47"/>
  <c r="B195" i="47"/>
  <c r="H194" i="47"/>
  <c r="G194" i="47"/>
  <c r="F194" i="47"/>
  <c r="E194" i="47"/>
  <c r="D194" i="47"/>
  <c r="C194" i="47"/>
  <c r="B194" i="47"/>
  <c r="H193" i="47"/>
  <c r="G193" i="47"/>
  <c r="F193" i="47"/>
  <c r="E193" i="47"/>
  <c r="D193" i="47"/>
  <c r="C193" i="47"/>
  <c r="B193" i="47"/>
  <c r="H192" i="47"/>
  <c r="G192" i="47"/>
  <c r="F192" i="47"/>
  <c r="E192" i="47"/>
  <c r="D192" i="47"/>
  <c r="C192" i="47"/>
  <c r="B192" i="47"/>
  <c r="H191" i="47"/>
  <c r="G191" i="47"/>
  <c r="F191" i="47"/>
  <c r="E191" i="47"/>
  <c r="D191" i="47"/>
  <c r="C191" i="47"/>
  <c r="B191" i="47"/>
  <c r="H190" i="47"/>
  <c r="G190" i="47"/>
  <c r="F190" i="47"/>
  <c r="E190" i="47"/>
  <c r="D190" i="47"/>
  <c r="C190" i="47"/>
  <c r="B190" i="47"/>
  <c r="H189" i="47"/>
  <c r="G189" i="47"/>
  <c r="F189" i="47"/>
  <c r="E189" i="47"/>
  <c r="D189" i="47"/>
  <c r="C189" i="47"/>
  <c r="B189" i="47"/>
  <c r="H188" i="47"/>
  <c r="G188" i="47"/>
  <c r="F188" i="47"/>
  <c r="E188" i="47"/>
  <c r="D188" i="47"/>
  <c r="C188" i="47"/>
  <c r="B188" i="47"/>
  <c r="H187" i="47"/>
  <c r="G187" i="47"/>
  <c r="F187" i="47"/>
  <c r="E187" i="47"/>
  <c r="D187" i="47"/>
  <c r="C187" i="47"/>
  <c r="B187" i="47"/>
  <c r="H186" i="47"/>
  <c r="G186" i="47"/>
  <c r="F186" i="47"/>
  <c r="E186" i="47"/>
  <c r="D186" i="47"/>
  <c r="C186" i="47"/>
  <c r="B186" i="47"/>
  <c r="H185" i="47"/>
  <c r="G185" i="47"/>
  <c r="F185" i="47"/>
  <c r="E185" i="47"/>
  <c r="D185" i="47"/>
  <c r="C185" i="47"/>
  <c r="B185" i="47"/>
  <c r="H184" i="47"/>
  <c r="G184" i="47"/>
  <c r="F184" i="47"/>
  <c r="E184" i="47"/>
  <c r="D184" i="47"/>
  <c r="C184" i="47"/>
  <c r="B184" i="47"/>
  <c r="H183" i="47"/>
  <c r="G183" i="47"/>
  <c r="F183" i="47"/>
  <c r="E183" i="47"/>
  <c r="D183" i="47"/>
  <c r="C183" i="47"/>
  <c r="B183" i="47"/>
  <c r="B182" i="47"/>
  <c r="H181" i="47"/>
  <c r="G181" i="47"/>
  <c r="F181" i="47"/>
  <c r="E181" i="47"/>
  <c r="D181" i="47"/>
  <c r="C181" i="47"/>
  <c r="B181" i="47"/>
  <c r="H180" i="47"/>
  <c r="G180" i="47"/>
  <c r="F180" i="47"/>
  <c r="E180" i="47"/>
  <c r="D180" i="47"/>
  <c r="C180" i="47"/>
  <c r="B180" i="47"/>
  <c r="H179" i="47"/>
  <c r="G179" i="47"/>
  <c r="F179" i="47"/>
  <c r="E179" i="47"/>
  <c r="D179" i="47"/>
  <c r="C179" i="47"/>
  <c r="B179" i="47"/>
  <c r="H178" i="47"/>
  <c r="G178" i="47"/>
  <c r="F178" i="47"/>
  <c r="E178" i="47"/>
  <c r="D178" i="47"/>
  <c r="C178" i="47"/>
  <c r="B178" i="47"/>
  <c r="H177" i="47"/>
  <c r="G177" i="47"/>
  <c r="F177" i="47"/>
  <c r="E177" i="47"/>
  <c r="D177" i="47"/>
  <c r="C177" i="47"/>
  <c r="B177" i="47"/>
  <c r="H176" i="47"/>
  <c r="G176" i="47"/>
  <c r="F176" i="47"/>
  <c r="E176" i="47"/>
  <c r="D176" i="47"/>
  <c r="C176" i="47"/>
  <c r="B176" i="47"/>
  <c r="H175" i="47"/>
  <c r="G175" i="47"/>
  <c r="F175" i="47"/>
  <c r="E175" i="47"/>
  <c r="D175" i="47"/>
  <c r="C175" i="47"/>
  <c r="B175" i="47"/>
  <c r="H174" i="47"/>
  <c r="G174" i="47"/>
  <c r="F174" i="47"/>
  <c r="E174" i="47"/>
  <c r="D174" i="47"/>
  <c r="C174" i="47"/>
  <c r="B174" i="47"/>
  <c r="H173" i="47"/>
  <c r="G173" i="47"/>
  <c r="F173" i="47"/>
  <c r="E173" i="47"/>
  <c r="D173" i="47"/>
  <c r="C173" i="47"/>
  <c r="B173" i="47"/>
  <c r="H172" i="47"/>
  <c r="G172" i="47"/>
  <c r="F172" i="47"/>
  <c r="E172" i="47"/>
  <c r="D172" i="47"/>
  <c r="C172" i="47"/>
  <c r="B172" i="47"/>
  <c r="H171" i="47"/>
  <c r="G171" i="47"/>
  <c r="F171" i="47"/>
  <c r="E171" i="47"/>
  <c r="D171" i="47"/>
  <c r="C171" i="47"/>
  <c r="B171" i="47"/>
  <c r="H170" i="47"/>
  <c r="G170" i="47"/>
  <c r="F170" i="47"/>
  <c r="E170" i="47"/>
  <c r="D170" i="47"/>
  <c r="C170" i="47"/>
  <c r="B170" i="47"/>
  <c r="H169" i="47"/>
  <c r="G169" i="47"/>
  <c r="F169" i="47"/>
  <c r="E169" i="47"/>
  <c r="D169" i="47"/>
  <c r="C169" i="47"/>
  <c r="B169" i="47"/>
  <c r="H168" i="47"/>
  <c r="G168" i="47"/>
  <c r="F168" i="47"/>
  <c r="E168" i="47"/>
  <c r="D168" i="47"/>
  <c r="C168" i="47"/>
  <c r="B168" i="47"/>
  <c r="B167" i="47"/>
  <c r="H166" i="47"/>
  <c r="G166" i="47"/>
  <c r="F166" i="47"/>
  <c r="E166" i="47"/>
  <c r="D166" i="47"/>
  <c r="C166" i="47"/>
  <c r="B166" i="47"/>
  <c r="H165" i="47"/>
  <c r="G165" i="47"/>
  <c r="F165" i="47"/>
  <c r="E165" i="47"/>
  <c r="D165" i="47"/>
  <c r="C165" i="47"/>
  <c r="B165" i="47"/>
  <c r="H164" i="47"/>
  <c r="G164" i="47"/>
  <c r="F164" i="47"/>
  <c r="E164" i="47"/>
  <c r="D164" i="47"/>
  <c r="C164" i="47"/>
  <c r="B164" i="47"/>
  <c r="H163" i="47"/>
  <c r="G163" i="47"/>
  <c r="F163" i="47"/>
  <c r="E163" i="47"/>
  <c r="D163" i="47"/>
  <c r="C163" i="47"/>
  <c r="B163" i="47"/>
  <c r="H162" i="47"/>
  <c r="G162" i="47"/>
  <c r="F162" i="47"/>
  <c r="E162" i="47"/>
  <c r="D162" i="47"/>
  <c r="C162" i="47"/>
  <c r="B162" i="47"/>
  <c r="H161" i="47"/>
  <c r="G161" i="47"/>
  <c r="F161" i="47"/>
  <c r="E161" i="47"/>
  <c r="D161" i="47"/>
  <c r="C161" i="47"/>
  <c r="B161" i="47"/>
  <c r="H160" i="47"/>
  <c r="G160" i="47"/>
  <c r="F160" i="47"/>
  <c r="E160" i="47"/>
  <c r="D160" i="47"/>
  <c r="C160" i="47"/>
  <c r="B160" i="47"/>
  <c r="H159" i="47"/>
  <c r="G159" i="47"/>
  <c r="F159" i="47"/>
  <c r="E159" i="47"/>
  <c r="D159" i="47"/>
  <c r="C159" i="47"/>
  <c r="B159" i="47"/>
  <c r="H158" i="47"/>
  <c r="G158" i="47"/>
  <c r="F158" i="47"/>
  <c r="E158" i="47"/>
  <c r="D158" i="47"/>
  <c r="C158" i="47"/>
  <c r="B158" i="47"/>
  <c r="H157" i="47"/>
  <c r="G157" i="47"/>
  <c r="F157" i="47"/>
  <c r="E157" i="47"/>
  <c r="D157" i="47"/>
  <c r="C157" i="47"/>
  <c r="B157" i="47"/>
  <c r="H156" i="47"/>
  <c r="G156" i="47"/>
  <c r="F156" i="47"/>
  <c r="E156" i="47"/>
  <c r="D156" i="47"/>
  <c r="C156" i="47"/>
  <c r="B156" i="47"/>
  <c r="H155" i="47"/>
  <c r="G155" i="47"/>
  <c r="F155" i="47"/>
  <c r="E155" i="47"/>
  <c r="D155" i="47"/>
  <c r="C155" i="47"/>
  <c r="B155" i="47"/>
  <c r="H154" i="47"/>
  <c r="G154" i="47"/>
  <c r="F154" i="47"/>
  <c r="E154" i="47"/>
  <c r="D154" i="47"/>
  <c r="C154" i="47"/>
  <c r="B154" i="47"/>
  <c r="H153" i="47"/>
  <c r="G153" i="47"/>
  <c r="F153" i="47"/>
  <c r="E153" i="47"/>
  <c r="D153" i="47"/>
  <c r="C153" i="47"/>
  <c r="B153" i="47"/>
  <c r="H152" i="47"/>
  <c r="G152" i="47"/>
  <c r="F152" i="47"/>
  <c r="E152" i="47"/>
  <c r="D152" i="47"/>
  <c r="C152" i="47"/>
  <c r="B152" i="47"/>
  <c r="H151" i="47"/>
  <c r="G151" i="47"/>
  <c r="F151" i="47"/>
  <c r="E151" i="47"/>
  <c r="D151" i="47"/>
  <c r="C151" i="47"/>
  <c r="B151" i="47"/>
  <c r="H150" i="47"/>
  <c r="G150" i="47"/>
  <c r="F150" i="47"/>
  <c r="E150" i="47"/>
  <c r="D150" i="47"/>
  <c r="C150" i="47"/>
  <c r="B150" i="47"/>
  <c r="H149" i="47"/>
  <c r="G149" i="47"/>
  <c r="F149" i="47"/>
  <c r="E149" i="47"/>
  <c r="D149" i="47"/>
  <c r="C149" i="47"/>
  <c r="B149" i="47"/>
  <c r="H148" i="47"/>
  <c r="G148" i="47"/>
  <c r="F148" i="47"/>
  <c r="E148" i="47"/>
  <c r="D148" i="47"/>
  <c r="C148" i="47"/>
  <c r="B148" i="47"/>
  <c r="H147" i="47"/>
  <c r="G147" i="47"/>
  <c r="F147" i="47"/>
  <c r="E147" i="47"/>
  <c r="D147" i="47"/>
  <c r="C147" i="47"/>
  <c r="B147" i="47"/>
  <c r="H146" i="47"/>
  <c r="G146" i="47"/>
  <c r="F146" i="47"/>
  <c r="E146" i="47"/>
  <c r="C146" i="47"/>
  <c r="B146" i="47"/>
  <c r="B145" i="47"/>
  <c r="H144" i="47"/>
  <c r="G144" i="47"/>
  <c r="F144" i="47"/>
  <c r="E144" i="47"/>
  <c r="D144" i="47"/>
  <c r="C144" i="47"/>
  <c r="B144" i="47"/>
  <c r="H143" i="47"/>
  <c r="G143" i="47"/>
  <c r="F143" i="47"/>
  <c r="E143" i="47"/>
  <c r="D143" i="47"/>
  <c r="C143" i="47"/>
  <c r="B143" i="47"/>
  <c r="H142" i="47"/>
  <c r="G142" i="47"/>
  <c r="F142" i="47"/>
  <c r="E142" i="47"/>
  <c r="D142" i="47"/>
  <c r="C142" i="47"/>
  <c r="B142" i="47"/>
  <c r="H141" i="47"/>
  <c r="G141" i="47"/>
  <c r="F141" i="47"/>
  <c r="E141" i="47"/>
  <c r="D141" i="47"/>
  <c r="C141" i="47"/>
  <c r="B141" i="47"/>
  <c r="H140" i="47"/>
  <c r="G140" i="47"/>
  <c r="F140" i="47"/>
  <c r="E140" i="47"/>
  <c r="D140" i="47"/>
  <c r="C140" i="47"/>
  <c r="B140" i="47"/>
  <c r="H139" i="47"/>
  <c r="G139" i="47"/>
  <c r="F139" i="47"/>
  <c r="E139" i="47"/>
  <c r="D139" i="47"/>
  <c r="C139" i="47"/>
  <c r="B139" i="47"/>
  <c r="H138" i="47"/>
  <c r="G138" i="47"/>
  <c r="F138" i="47"/>
  <c r="E138" i="47"/>
  <c r="D138" i="47"/>
  <c r="C138" i="47"/>
  <c r="B138" i="47"/>
  <c r="H137" i="47"/>
  <c r="G137" i="47"/>
  <c r="F137" i="47"/>
  <c r="E137" i="47"/>
  <c r="D137" i="47"/>
  <c r="C137" i="47"/>
  <c r="B137" i="47"/>
  <c r="H136" i="47"/>
  <c r="G136" i="47"/>
  <c r="F136" i="47"/>
  <c r="E136" i="47"/>
  <c r="D136" i="47"/>
  <c r="C136" i="47"/>
  <c r="B136" i="47"/>
  <c r="H135" i="47"/>
  <c r="G135" i="47"/>
  <c r="F135" i="47"/>
  <c r="E135" i="47"/>
  <c r="D135" i="47"/>
  <c r="C135" i="47"/>
  <c r="B135" i="47"/>
  <c r="H134" i="47"/>
  <c r="G134" i="47"/>
  <c r="F134" i="47"/>
  <c r="E134" i="47"/>
  <c r="D134" i="47"/>
  <c r="C134" i="47"/>
  <c r="B134" i="47"/>
  <c r="H133" i="47"/>
  <c r="G133" i="47"/>
  <c r="F133" i="47"/>
  <c r="E133" i="47"/>
  <c r="D133" i="47"/>
  <c r="C133" i="47"/>
  <c r="B133" i="47"/>
  <c r="H132" i="47"/>
  <c r="G132" i="47"/>
  <c r="F132" i="47"/>
  <c r="E132" i="47"/>
  <c r="D132" i="47"/>
  <c r="C132" i="47"/>
  <c r="B132" i="47"/>
  <c r="B131" i="47"/>
  <c r="H130" i="47"/>
  <c r="G130" i="47"/>
  <c r="F130" i="47"/>
  <c r="E130" i="47"/>
  <c r="D130" i="47"/>
  <c r="C130" i="47"/>
  <c r="B130" i="47"/>
  <c r="H129" i="47"/>
  <c r="G129" i="47"/>
  <c r="F129" i="47"/>
  <c r="E129" i="47"/>
  <c r="D129" i="47"/>
  <c r="C129" i="47"/>
  <c r="B129" i="47"/>
  <c r="H128" i="47"/>
  <c r="G128" i="47"/>
  <c r="F128" i="47"/>
  <c r="E128" i="47"/>
  <c r="D128" i="47"/>
  <c r="C128" i="47"/>
  <c r="B128" i="47"/>
  <c r="H127" i="47"/>
  <c r="G127" i="47"/>
  <c r="F127" i="47"/>
  <c r="E127" i="47"/>
  <c r="D127" i="47"/>
  <c r="C127" i="47"/>
  <c r="B127" i="47"/>
  <c r="H126" i="47"/>
  <c r="G126" i="47"/>
  <c r="F126" i="47"/>
  <c r="E126" i="47"/>
  <c r="D126" i="47"/>
  <c r="C126" i="47"/>
  <c r="B126" i="47"/>
  <c r="H125" i="47"/>
  <c r="G125" i="47"/>
  <c r="F125" i="47"/>
  <c r="E125" i="47"/>
  <c r="D125" i="47"/>
  <c r="C125" i="47"/>
  <c r="B125" i="47"/>
  <c r="H124" i="47"/>
  <c r="G124" i="47"/>
  <c r="F124" i="47"/>
  <c r="E124" i="47"/>
  <c r="D124" i="47"/>
  <c r="C124" i="47"/>
  <c r="B124" i="47"/>
  <c r="H123" i="47"/>
  <c r="G123" i="47"/>
  <c r="F123" i="47"/>
  <c r="E123" i="47"/>
  <c r="D123" i="47"/>
  <c r="C123" i="47"/>
  <c r="B123" i="47"/>
  <c r="H122" i="47"/>
  <c r="G122" i="47"/>
  <c r="F122" i="47"/>
  <c r="E122" i="47"/>
  <c r="D122" i="47"/>
  <c r="C122" i="47"/>
  <c r="B122" i="47"/>
  <c r="H121" i="47"/>
  <c r="G121" i="47"/>
  <c r="F121" i="47"/>
  <c r="E121" i="47"/>
  <c r="D121" i="47"/>
  <c r="C121" i="47"/>
  <c r="B121" i="47"/>
  <c r="H120" i="47"/>
  <c r="G120" i="47"/>
  <c r="F120" i="47"/>
  <c r="E120" i="47"/>
  <c r="D120" i="47"/>
  <c r="C120" i="47"/>
  <c r="B120" i="47"/>
  <c r="H119" i="47"/>
  <c r="G119" i="47"/>
  <c r="F119" i="47"/>
  <c r="E119" i="47"/>
  <c r="D119" i="47"/>
  <c r="C119" i="47"/>
  <c r="B119" i="47"/>
  <c r="H118" i="47"/>
  <c r="G118" i="47"/>
  <c r="F118" i="47"/>
  <c r="E118" i="47"/>
  <c r="D118" i="47"/>
  <c r="C118" i="47"/>
  <c r="B118" i="47"/>
  <c r="H117" i="47"/>
  <c r="G117" i="47"/>
  <c r="F117" i="47"/>
  <c r="E117" i="47"/>
  <c r="D117" i="47"/>
  <c r="C117" i="47"/>
  <c r="B117" i="47"/>
  <c r="H116" i="47"/>
  <c r="G116" i="47"/>
  <c r="F116" i="47"/>
  <c r="E116" i="47"/>
  <c r="D116" i="47"/>
  <c r="C116" i="47"/>
  <c r="B116" i="47"/>
  <c r="H115" i="47"/>
  <c r="G115" i="47"/>
  <c r="F115" i="47"/>
  <c r="E115" i="47"/>
  <c r="D115" i="47"/>
  <c r="C115" i="47"/>
  <c r="B115" i="47"/>
  <c r="H114" i="47"/>
  <c r="G114" i="47"/>
  <c r="F114" i="47"/>
  <c r="E114" i="47"/>
  <c r="D114" i="47"/>
  <c r="C114" i="47"/>
  <c r="B114" i="47"/>
  <c r="H113" i="47"/>
  <c r="G113" i="47"/>
  <c r="F113" i="47"/>
  <c r="E113" i="47"/>
  <c r="D113" i="47"/>
  <c r="C113" i="47"/>
  <c r="B113" i="47"/>
  <c r="H112" i="47"/>
  <c r="G112" i="47"/>
  <c r="F112" i="47"/>
  <c r="E112" i="47"/>
  <c r="D112" i="47"/>
  <c r="C112" i="47"/>
  <c r="B112" i="47"/>
  <c r="H111" i="47"/>
  <c r="G111" i="47"/>
  <c r="F111" i="47"/>
  <c r="E111" i="47"/>
  <c r="D111" i="47"/>
  <c r="C111" i="47"/>
  <c r="B111" i="47"/>
  <c r="H110" i="47"/>
  <c r="G110" i="47"/>
  <c r="F110" i="47"/>
  <c r="E110" i="47"/>
  <c r="D110" i="47"/>
  <c r="C110" i="47"/>
  <c r="B110" i="47"/>
  <c r="H109" i="47"/>
  <c r="G109" i="47"/>
  <c r="F109" i="47"/>
  <c r="E109" i="47"/>
  <c r="D109" i="47"/>
  <c r="C109" i="47"/>
  <c r="B109" i="47"/>
  <c r="H108" i="47"/>
  <c r="G108" i="47"/>
  <c r="F108" i="47"/>
  <c r="E108" i="47"/>
  <c r="D108" i="47"/>
  <c r="C108" i="47"/>
  <c r="B108" i="47"/>
  <c r="H107" i="47"/>
  <c r="G107" i="47"/>
  <c r="F107" i="47"/>
  <c r="E107" i="47"/>
  <c r="D107" i="47"/>
  <c r="C107" i="47"/>
  <c r="B107" i="47"/>
  <c r="H106" i="47"/>
  <c r="G106" i="47"/>
  <c r="F106" i="47"/>
  <c r="E106" i="47"/>
  <c r="D106" i="47"/>
  <c r="C106" i="47"/>
  <c r="B106" i="47"/>
  <c r="H105" i="47"/>
  <c r="G105" i="47"/>
  <c r="F105" i="47"/>
  <c r="E105" i="47"/>
  <c r="D105" i="47"/>
  <c r="C105" i="47"/>
  <c r="B105" i="47"/>
  <c r="H104" i="47"/>
  <c r="G104" i="47"/>
  <c r="F104" i="47"/>
  <c r="E104" i="47"/>
  <c r="D104" i="47"/>
  <c r="C104" i="47"/>
  <c r="B104" i="47"/>
  <c r="H103" i="47"/>
  <c r="G103" i="47"/>
  <c r="F103" i="47"/>
  <c r="E103" i="47"/>
  <c r="D103" i="47"/>
  <c r="C103" i="47"/>
  <c r="B103" i="47"/>
  <c r="H102" i="47"/>
  <c r="G102" i="47"/>
  <c r="F102" i="47"/>
  <c r="E102" i="47"/>
  <c r="D102" i="47"/>
  <c r="C102" i="47"/>
  <c r="B102" i="47"/>
  <c r="H101" i="47"/>
  <c r="G101" i="47"/>
  <c r="F101" i="47"/>
  <c r="E101" i="47"/>
  <c r="D101" i="47"/>
  <c r="B101" i="47"/>
  <c r="B100" i="47"/>
  <c r="H99" i="47"/>
  <c r="G99" i="47"/>
  <c r="F99" i="47"/>
  <c r="E99" i="47"/>
  <c r="D99" i="47"/>
  <c r="C99" i="47"/>
  <c r="B99" i="47"/>
  <c r="H98" i="47"/>
  <c r="G98" i="47"/>
  <c r="F98" i="47"/>
  <c r="E98" i="47"/>
  <c r="D98" i="47"/>
  <c r="C98" i="47"/>
  <c r="B98" i="47"/>
  <c r="H97" i="47"/>
  <c r="G97" i="47"/>
  <c r="F97" i="47"/>
  <c r="E97" i="47"/>
  <c r="D97" i="47"/>
  <c r="C97" i="47"/>
  <c r="B97" i="47"/>
  <c r="H96" i="47"/>
  <c r="G96" i="47"/>
  <c r="F96" i="47"/>
  <c r="E96" i="47"/>
  <c r="D96" i="47"/>
  <c r="C96" i="47"/>
  <c r="B96" i="47"/>
  <c r="E95" i="47"/>
  <c r="D95" i="47"/>
  <c r="C95" i="47"/>
  <c r="B95" i="47"/>
  <c r="H94" i="47"/>
  <c r="G94" i="47"/>
  <c r="F94" i="47"/>
  <c r="E94" i="47"/>
  <c r="D94" i="47"/>
  <c r="C94" i="47"/>
  <c r="B94" i="47"/>
  <c r="H93" i="47"/>
  <c r="G93" i="47"/>
  <c r="F93" i="47"/>
  <c r="E93" i="47"/>
  <c r="D93" i="47"/>
  <c r="C93" i="47"/>
  <c r="B93" i="47"/>
  <c r="H92" i="47"/>
  <c r="G92" i="47"/>
  <c r="F92" i="47"/>
  <c r="E92" i="47"/>
  <c r="D92" i="47"/>
  <c r="C92" i="47"/>
  <c r="B92" i="47"/>
  <c r="H91" i="47"/>
  <c r="G91" i="47"/>
  <c r="F91" i="47"/>
  <c r="E91" i="47"/>
  <c r="D91" i="47"/>
  <c r="C91" i="47"/>
  <c r="B91" i="47"/>
  <c r="H90" i="47"/>
  <c r="G90" i="47"/>
  <c r="F90" i="47"/>
  <c r="E90" i="47"/>
  <c r="D90" i="47"/>
  <c r="C90" i="47"/>
  <c r="B90" i="47"/>
  <c r="H89" i="47"/>
  <c r="G89" i="47"/>
  <c r="E89" i="47"/>
  <c r="D89" i="47"/>
  <c r="C89" i="47"/>
  <c r="B89" i="47"/>
  <c r="B88" i="47"/>
  <c r="R87" i="47"/>
  <c r="B87" i="47"/>
  <c r="B86" i="47"/>
  <c r="B85" i="47"/>
  <c r="H84" i="47"/>
  <c r="G84" i="47"/>
  <c r="F84" i="47"/>
  <c r="E84" i="47"/>
  <c r="D84" i="47"/>
  <c r="C84" i="47"/>
  <c r="B84" i="47"/>
  <c r="H83" i="47"/>
  <c r="G83" i="47"/>
  <c r="F83" i="47"/>
  <c r="E83" i="47"/>
  <c r="D83" i="47"/>
  <c r="C83" i="47"/>
  <c r="B83" i="47"/>
  <c r="H82" i="47"/>
  <c r="G82" i="47"/>
  <c r="F82" i="47"/>
  <c r="E82" i="47"/>
  <c r="D82" i="47"/>
  <c r="C82" i="47"/>
  <c r="B82" i="47"/>
  <c r="H81" i="47"/>
  <c r="G81" i="47"/>
  <c r="F81" i="47"/>
  <c r="E81" i="47"/>
  <c r="D81" i="47"/>
  <c r="C81" i="47"/>
  <c r="B81" i="47"/>
  <c r="H80" i="47"/>
  <c r="G80" i="47"/>
  <c r="F80" i="47"/>
  <c r="E80" i="47"/>
  <c r="D80" i="47"/>
  <c r="C80" i="47"/>
  <c r="B80" i="47"/>
  <c r="H79" i="47"/>
  <c r="G79" i="47"/>
  <c r="F79" i="47"/>
  <c r="E79" i="47"/>
  <c r="D79" i="47"/>
  <c r="C79" i="47"/>
  <c r="B79" i="47"/>
  <c r="H78" i="47"/>
  <c r="G78" i="47"/>
  <c r="F78" i="47"/>
  <c r="E78" i="47"/>
  <c r="D78" i="47"/>
  <c r="C78" i="47"/>
  <c r="B78" i="47"/>
  <c r="H77" i="47"/>
  <c r="G77" i="47"/>
  <c r="F77" i="47"/>
  <c r="E77" i="47"/>
  <c r="D77" i="47"/>
  <c r="C77" i="47"/>
  <c r="B77" i="47"/>
  <c r="H76" i="47"/>
  <c r="G76" i="47"/>
  <c r="F76" i="47"/>
  <c r="E76" i="47"/>
  <c r="D76" i="47"/>
  <c r="C76" i="47"/>
  <c r="B76" i="47"/>
  <c r="H75" i="47"/>
  <c r="G75" i="47"/>
  <c r="F75" i="47"/>
  <c r="E75" i="47"/>
  <c r="D75" i="47"/>
  <c r="C75" i="47"/>
  <c r="B75" i="47"/>
  <c r="H74" i="47"/>
  <c r="G74" i="47"/>
  <c r="F74" i="47"/>
  <c r="E74" i="47"/>
  <c r="D74" i="47"/>
  <c r="C74" i="47"/>
  <c r="B74" i="47"/>
  <c r="H73" i="47"/>
  <c r="G73" i="47"/>
  <c r="F73" i="47"/>
  <c r="E73" i="47"/>
  <c r="D73" i="47"/>
  <c r="C73" i="47"/>
  <c r="B73" i="47"/>
  <c r="H72" i="47"/>
  <c r="G72" i="47"/>
  <c r="F72" i="47"/>
  <c r="E72" i="47"/>
  <c r="D72" i="47"/>
  <c r="C72" i="47"/>
  <c r="B72" i="47"/>
  <c r="H71" i="47"/>
  <c r="G71" i="47"/>
  <c r="F71" i="47"/>
  <c r="E71" i="47"/>
  <c r="D71" i="47"/>
  <c r="C71" i="47"/>
  <c r="B71" i="47"/>
  <c r="B70" i="47"/>
  <c r="H69" i="47"/>
  <c r="G69" i="47"/>
  <c r="F69" i="47"/>
  <c r="E69" i="47"/>
  <c r="D69" i="47"/>
  <c r="C69" i="47"/>
  <c r="B69" i="47"/>
  <c r="H68" i="47"/>
  <c r="G68" i="47"/>
  <c r="F68" i="47"/>
  <c r="E68" i="47"/>
  <c r="D68" i="47"/>
  <c r="C68" i="47"/>
  <c r="B68" i="47"/>
  <c r="H67" i="47"/>
  <c r="G67" i="47"/>
  <c r="F67" i="47"/>
  <c r="E67" i="47"/>
  <c r="D67" i="47"/>
  <c r="C67" i="47"/>
  <c r="B67" i="47"/>
  <c r="H66" i="47"/>
  <c r="G66" i="47"/>
  <c r="F66" i="47"/>
  <c r="E66" i="47"/>
  <c r="D66" i="47"/>
  <c r="C66" i="47"/>
  <c r="B66" i="47"/>
  <c r="H65" i="47"/>
  <c r="G65" i="47"/>
  <c r="F65" i="47"/>
  <c r="E65" i="47"/>
  <c r="D65" i="47"/>
  <c r="C65" i="47"/>
  <c r="B65" i="47"/>
  <c r="H64" i="47"/>
  <c r="G64" i="47"/>
  <c r="F64" i="47"/>
  <c r="E64" i="47"/>
  <c r="D64" i="47"/>
  <c r="B64" i="47"/>
  <c r="H63" i="47"/>
  <c r="G63" i="47"/>
  <c r="F63" i="47"/>
  <c r="E63" i="47"/>
  <c r="D63" i="47"/>
  <c r="C63" i="47"/>
  <c r="B63" i="47"/>
  <c r="H62" i="47"/>
  <c r="G62" i="47"/>
  <c r="F62" i="47"/>
  <c r="E62" i="47"/>
  <c r="D62" i="47"/>
  <c r="C62" i="47"/>
  <c r="B62" i="47"/>
  <c r="H61" i="47"/>
  <c r="G61" i="47"/>
  <c r="F61" i="47"/>
  <c r="E61" i="47"/>
  <c r="D61" i="47"/>
  <c r="C61" i="47"/>
  <c r="B61" i="47"/>
  <c r="G60" i="47"/>
  <c r="F60" i="47"/>
  <c r="D60" i="47"/>
  <c r="B60" i="47"/>
  <c r="H59" i="47"/>
  <c r="G59" i="47"/>
  <c r="F59" i="47"/>
  <c r="E59" i="47"/>
  <c r="D59" i="47"/>
  <c r="C59" i="47"/>
  <c r="B59" i="47"/>
  <c r="H58" i="47"/>
  <c r="G58" i="47"/>
  <c r="F58" i="47"/>
  <c r="E58" i="47"/>
  <c r="D58" i="47"/>
  <c r="C58" i="47"/>
  <c r="B58" i="47"/>
  <c r="H57" i="47"/>
  <c r="G57" i="47"/>
  <c r="F57" i="47"/>
  <c r="E57" i="47"/>
  <c r="D57" i="47"/>
  <c r="C57" i="47"/>
  <c r="B57" i="47"/>
  <c r="H56" i="47"/>
  <c r="G56" i="47"/>
  <c r="F56" i="47"/>
  <c r="E56" i="47"/>
  <c r="D56" i="47"/>
  <c r="C56" i="47"/>
  <c r="B56" i="47"/>
  <c r="H55" i="47"/>
  <c r="G55" i="47"/>
  <c r="F55" i="47"/>
  <c r="E55" i="47"/>
  <c r="D55" i="47"/>
  <c r="C55" i="47"/>
  <c r="B55" i="47"/>
  <c r="H54" i="47"/>
  <c r="G54" i="47"/>
  <c r="F54" i="47"/>
  <c r="E54" i="47"/>
  <c r="D54" i="47"/>
  <c r="C54" i="47"/>
  <c r="B54" i="47"/>
  <c r="H53" i="47"/>
  <c r="G53" i="47"/>
  <c r="F53" i="47"/>
  <c r="E53" i="47"/>
  <c r="D53" i="47"/>
  <c r="C53" i="47"/>
  <c r="B53" i="47"/>
  <c r="B52" i="47"/>
  <c r="H51" i="47"/>
  <c r="G51" i="47"/>
  <c r="F51" i="47"/>
  <c r="E51" i="47"/>
  <c r="D51" i="47"/>
  <c r="C51" i="47"/>
  <c r="B51" i="47"/>
  <c r="H50" i="47"/>
  <c r="G50" i="47"/>
  <c r="F50" i="47"/>
  <c r="E50" i="47"/>
  <c r="D50" i="47"/>
  <c r="C50" i="47"/>
  <c r="B50" i="47"/>
  <c r="H49" i="47"/>
  <c r="G49" i="47"/>
  <c r="F49" i="47"/>
  <c r="E49" i="47"/>
  <c r="D49" i="47"/>
  <c r="C49" i="47"/>
  <c r="B49" i="47"/>
  <c r="B48" i="47"/>
  <c r="H47" i="47"/>
  <c r="G47" i="47"/>
  <c r="F47" i="47"/>
  <c r="E47" i="47"/>
  <c r="D47" i="47"/>
  <c r="C47" i="47"/>
  <c r="B47" i="47"/>
  <c r="H46" i="47"/>
  <c r="G46" i="47"/>
  <c r="F46" i="47"/>
  <c r="E46" i="47"/>
  <c r="D46" i="47"/>
  <c r="C46" i="47"/>
  <c r="B46" i="47"/>
  <c r="H45" i="47"/>
  <c r="G45" i="47"/>
  <c r="F45" i="47"/>
  <c r="E45" i="47"/>
  <c r="D45" i="47"/>
  <c r="C45" i="47"/>
  <c r="B45" i="47"/>
  <c r="H44" i="47"/>
  <c r="G44" i="47"/>
  <c r="F44" i="47"/>
  <c r="E44" i="47"/>
  <c r="D44" i="47"/>
  <c r="C44" i="47"/>
  <c r="B44" i="47"/>
  <c r="H43" i="47"/>
  <c r="G43" i="47"/>
  <c r="F43" i="47"/>
  <c r="E43" i="47"/>
  <c r="D43" i="47"/>
  <c r="C43" i="47"/>
  <c r="B43" i="47"/>
  <c r="H42" i="47"/>
  <c r="G42" i="47"/>
  <c r="F42" i="47"/>
  <c r="E42" i="47"/>
  <c r="D42" i="47"/>
  <c r="C42" i="47"/>
  <c r="B42" i="47"/>
  <c r="H41" i="47"/>
  <c r="G41" i="47"/>
  <c r="F41" i="47"/>
  <c r="E41" i="47"/>
  <c r="D41" i="47"/>
  <c r="C41" i="47"/>
  <c r="B41" i="47"/>
  <c r="H40" i="47"/>
  <c r="G40" i="47"/>
  <c r="F40" i="47"/>
  <c r="E40" i="47"/>
  <c r="D40" i="47"/>
  <c r="C40" i="47"/>
  <c r="B40" i="47"/>
  <c r="H39" i="47"/>
  <c r="G39" i="47"/>
  <c r="F39" i="47"/>
  <c r="E39" i="47"/>
  <c r="D39" i="47"/>
  <c r="C39" i="47"/>
  <c r="B39" i="47"/>
  <c r="H38" i="47"/>
  <c r="G38" i="47"/>
  <c r="F38" i="47"/>
  <c r="E38" i="47"/>
  <c r="D38" i="47"/>
  <c r="C38" i="47"/>
  <c r="B38" i="47"/>
  <c r="H37" i="47"/>
  <c r="G37" i="47"/>
  <c r="F37" i="47"/>
  <c r="E37" i="47"/>
  <c r="C37" i="47"/>
  <c r="B37" i="47"/>
  <c r="E36" i="47"/>
  <c r="C36" i="47"/>
  <c r="B36" i="47"/>
  <c r="H35" i="47"/>
  <c r="G35" i="47"/>
  <c r="C35" i="47"/>
  <c r="B35" i="47"/>
  <c r="H34" i="47"/>
  <c r="G34" i="47"/>
  <c r="F34" i="47"/>
  <c r="C34" i="47"/>
  <c r="B34" i="47"/>
  <c r="H33" i="47"/>
  <c r="G33" i="47"/>
  <c r="F33" i="47"/>
  <c r="C33" i="47"/>
  <c r="B33" i="47"/>
  <c r="H32" i="47"/>
  <c r="G32" i="47"/>
  <c r="F32" i="47"/>
  <c r="C32" i="47"/>
  <c r="B32" i="47"/>
  <c r="H31" i="47"/>
  <c r="G31" i="47"/>
  <c r="F31" i="47"/>
  <c r="C31" i="47"/>
  <c r="B31" i="47"/>
  <c r="H30" i="47"/>
  <c r="G30" i="47"/>
  <c r="C30" i="47"/>
  <c r="B30" i="47"/>
  <c r="H29" i="47"/>
  <c r="G29" i="47"/>
  <c r="F29" i="47"/>
  <c r="C29" i="47"/>
  <c r="B29" i="47"/>
  <c r="B28" i="47"/>
  <c r="B27" i="47"/>
  <c r="C16" i="47"/>
  <c r="O16" i="47" s="1"/>
  <c r="B16" i="47"/>
  <c r="C15" i="47"/>
  <c r="O15" i="47" s="1"/>
  <c r="B15" i="47"/>
  <c r="C14" i="47"/>
  <c r="O14" i="47" s="1"/>
  <c r="B14" i="47"/>
  <c r="C13" i="47"/>
  <c r="O13" i="47" s="1"/>
  <c r="B13" i="47"/>
  <c r="C12" i="47"/>
  <c r="O12" i="47" s="1"/>
  <c r="B12" i="47"/>
  <c r="C11" i="47"/>
  <c r="O11" i="47" s="1"/>
  <c r="B11" i="47"/>
  <c r="F10" i="47"/>
  <c r="C10" i="47"/>
  <c r="O10" i="47" s="1"/>
  <c r="B10" i="47"/>
  <c r="F9" i="47"/>
  <c r="C9" i="47"/>
  <c r="O9" i="47" s="1"/>
  <c r="B9" i="47"/>
  <c r="F8" i="47"/>
  <c r="C8" i="47"/>
  <c r="O8" i="47" s="1"/>
  <c r="B8" i="47"/>
  <c r="F7" i="47"/>
  <c r="C7" i="47"/>
  <c r="O7" i="47" s="1"/>
  <c r="B7" i="47"/>
  <c r="F6" i="47"/>
  <c r="C6" i="47"/>
  <c r="O6" i="47" s="1"/>
  <c r="B6" i="47"/>
  <c r="F5" i="47"/>
  <c r="C5" i="47"/>
  <c r="O5" i="47" s="1"/>
  <c r="B5" i="47"/>
  <c r="F4" i="47"/>
  <c r="C4" i="47"/>
  <c r="O4" i="47" s="1"/>
  <c r="B4" i="47"/>
  <c r="F3" i="47"/>
  <c r="C3" i="47"/>
  <c r="O3" i="47" s="1"/>
  <c r="B3" i="47"/>
  <c r="B2" i="47"/>
  <c r="L29" i="46"/>
  <c r="L30" i="46"/>
  <c r="L31" i="46"/>
  <c r="L32" i="46"/>
  <c r="L33" i="46"/>
  <c r="L34" i="46"/>
  <c r="L35" i="46"/>
  <c r="L36" i="46"/>
  <c r="L37" i="46"/>
  <c r="L38" i="46"/>
  <c r="L39" i="46"/>
  <c r="L40" i="46"/>
  <c r="L41" i="46"/>
  <c r="L42" i="46"/>
  <c r="L43" i="46"/>
  <c r="L44" i="46"/>
  <c r="L45" i="46"/>
  <c r="L46" i="46"/>
  <c r="L47" i="46"/>
  <c r="L49" i="46"/>
  <c r="L50" i="46"/>
  <c r="L51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1" i="46"/>
  <c r="L72" i="46"/>
  <c r="L73" i="46"/>
  <c r="L74" i="46"/>
  <c r="L75" i="46"/>
  <c r="L76" i="46"/>
  <c r="L77" i="46"/>
  <c r="L78" i="46"/>
  <c r="L79" i="46"/>
  <c r="L80" i="46"/>
  <c r="L81" i="46"/>
  <c r="L82" i="46"/>
  <c r="L83" i="46"/>
  <c r="L84" i="46"/>
  <c r="L87" i="46"/>
  <c r="L89" i="46"/>
  <c r="L90" i="46"/>
  <c r="L91" i="46"/>
  <c r="L92" i="46"/>
  <c r="L93" i="46"/>
  <c r="L94" i="46"/>
  <c r="L95" i="46"/>
  <c r="L96" i="46"/>
  <c r="L97" i="46"/>
  <c r="L98" i="46"/>
  <c r="L99" i="46"/>
  <c r="L101" i="46"/>
  <c r="L102" i="46"/>
  <c r="L103" i="46"/>
  <c r="L104" i="46"/>
  <c r="L105" i="46"/>
  <c r="L106" i="46"/>
  <c r="L107" i="46"/>
  <c r="L108" i="46"/>
  <c r="L109" i="46"/>
  <c r="L110" i="46"/>
  <c r="L111" i="46"/>
  <c r="L112" i="46"/>
  <c r="L113" i="46"/>
  <c r="L114" i="46"/>
  <c r="L115" i="46"/>
  <c r="L116" i="46"/>
  <c r="L117" i="46"/>
  <c r="L118" i="46"/>
  <c r="L119" i="46"/>
  <c r="L120" i="46"/>
  <c r="L121" i="46"/>
  <c r="L122" i="46"/>
  <c r="L123" i="46"/>
  <c r="L124" i="46"/>
  <c r="L125" i="46"/>
  <c r="L126" i="46"/>
  <c r="L127" i="46"/>
  <c r="L128" i="46"/>
  <c r="L129" i="46"/>
  <c r="L130" i="46"/>
  <c r="L132" i="46"/>
  <c r="L133" i="46"/>
  <c r="L134" i="46"/>
  <c r="L135" i="46"/>
  <c r="L136" i="46"/>
  <c r="L137" i="46"/>
  <c r="L138" i="46"/>
  <c r="L139" i="46"/>
  <c r="L140" i="46"/>
  <c r="L141" i="46"/>
  <c r="L142" i="46"/>
  <c r="L143" i="46"/>
  <c r="L144" i="46"/>
  <c r="L146" i="46"/>
  <c r="L147" i="46"/>
  <c r="L148" i="46"/>
  <c r="L149" i="46"/>
  <c r="L150" i="46"/>
  <c r="L151" i="46"/>
  <c r="L152" i="46"/>
  <c r="L153" i="46"/>
  <c r="L154" i="46"/>
  <c r="L155" i="46"/>
  <c r="L156" i="46"/>
  <c r="L157" i="46"/>
  <c r="L158" i="46"/>
  <c r="L159" i="46"/>
  <c r="L160" i="46"/>
  <c r="L161" i="46"/>
  <c r="L162" i="46"/>
  <c r="L163" i="46"/>
  <c r="L164" i="46"/>
  <c r="L165" i="46"/>
  <c r="L166" i="46"/>
  <c r="L168" i="46"/>
  <c r="L169" i="46"/>
  <c r="L170" i="46"/>
  <c r="L171" i="46"/>
  <c r="L172" i="46"/>
  <c r="L173" i="46"/>
  <c r="L174" i="46"/>
  <c r="L175" i="46"/>
  <c r="L176" i="46"/>
  <c r="L177" i="46"/>
  <c r="L178" i="46"/>
  <c r="L179" i="46"/>
  <c r="L180" i="46"/>
  <c r="L181" i="46"/>
  <c r="L183" i="46"/>
  <c r="L184" i="46"/>
  <c r="L185" i="46"/>
  <c r="L186" i="46"/>
  <c r="L187" i="46"/>
  <c r="L188" i="46"/>
  <c r="L189" i="46"/>
  <c r="L190" i="46"/>
  <c r="L191" i="46"/>
  <c r="L192" i="46"/>
  <c r="L193" i="46"/>
  <c r="L194" i="46"/>
  <c r="L195" i="46"/>
  <c r="L196" i="46"/>
  <c r="L197" i="46"/>
  <c r="L198" i="46"/>
  <c r="L199" i="46"/>
  <c r="L201" i="46"/>
  <c r="L202" i="46"/>
  <c r="L203" i="46"/>
  <c r="L204" i="46"/>
  <c r="L205" i="46"/>
  <c r="L206" i="46"/>
  <c r="L207" i="46"/>
  <c r="L208" i="46"/>
  <c r="L209" i="46"/>
  <c r="L210" i="46"/>
  <c r="L211" i="46"/>
  <c r="L213" i="46"/>
  <c r="L214" i="46"/>
  <c r="L215" i="46"/>
  <c r="L216" i="46"/>
  <c r="L217" i="46"/>
  <c r="L218" i="46"/>
  <c r="L219" i="46"/>
  <c r="L220" i="46"/>
  <c r="L221" i="46"/>
  <c r="L222" i="46"/>
  <c r="L223" i="46"/>
  <c r="L224" i="46"/>
  <c r="L225" i="46"/>
  <c r="L226" i="46"/>
  <c r="L227" i="46"/>
  <c r="L228" i="46"/>
  <c r="L229" i="46"/>
  <c r="L230" i="46"/>
  <c r="L232" i="46"/>
  <c r="L233" i="46"/>
  <c r="L234" i="46"/>
  <c r="L235" i="46"/>
  <c r="L240" i="46"/>
  <c r="L241" i="46"/>
  <c r="L242" i="46"/>
  <c r="L243" i="46"/>
  <c r="L244" i="46"/>
  <c r="L245" i="46"/>
  <c r="L246" i="46"/>
  <c r="L247" i="46"/>
  <c r="L249" i="46"/>
  <c r="L250" i="46"/>
  <c r="L251" i="46"/>
  <c r="L252" i="46"/>
  <c r="L253" i="46"/>
  <c r="L254" i="46"/>
  <c r="L255" i="46"/>
  <c r="L256" i="46"/>
  <c r="L257" i="46"/>
  <c r="L258" i="46"/>
  <c r="L259" i="46"/>
  <c r="L260" i="46"/>
  <c r="L262" i="46"/>
  <c r="L263" i="46"/>
  <c r="L264" i="46"/>
  <c r="L265" i="46"/>
  <c r="L266" i="46"/>
  <c r="L267" i="46"/>
  <c r="L268" i="46"/>
  <c r="L269" i="46"/>
  <c r="L270" i="46"/>
  <c r="L271" i="46"/>
  <c r="L272" i="46"/>
  <c r="L274" i="46"/>
  <c r="L275" i="46"/>
  <c r="L276" i="46"/>
  <c r="L277" i="46"/>
  <c r="L278" i="46"/>
  <c r="L279" i="46"/>
  <c r="L280" i="46"/>
  <c r="L281" i="46"/>
  <c r="L282" i="46"/>
  <c r="L283" i="46"/>
  <c r="L284" i="46"/>
  <c r="L285" i="46"/>
  <c r="L286" i="46"/>
  <c r="L287" i="46"/>
  <c r="L288" i="46"/>
  <c r="L289" i="46"/>
  <c r="L290" i="46"/>
  <c r="L291" i="46"/>
  <c r="L292" i="46"/>
  <c r="L293" i="46"/>
  <c r="L295" i="46"/>
  <c r="L296" i="46"/>
  <c r="L297" i="46"/>
  <c r="L298" i="46"/>
  <c r="L299" i="46"/>
  <c r="L300" i="46"/>
  <c r="L301" i="46"/>
  <c r="L302" i="46"/>
  <c r="L303" i="46"/>
  <c r="L304" i="46"/>
  <c r="L305" i="46"/>
  <c r="L306" i="46"/>
  <c r="L307" i="46"/>
  <c r="L308" i="46"/>
  <c r="L309" i="46"/>
  <c r="L310" i="46"/>
  <c r="L311" i="46"/>
  <c r="L312" i="46"/>
  <c r="L313" i="46"/>
  <c r="L314" i="46"/>
  <c r="L316" i="46"/>
  <c r="L317" i="46"/>
  <c r="L318" i="46"/>
  <c r="L319" i="46"/>
  <c r="L320" i="46"/>
  <c r="L321" i="46"/>
  <c r="L323" i="46"/>
  <c r="L324" i="46"/>
  <c r="L325" i="46"/>
  <c r="L326" i="46"/>
  <c r="L327" i="46"/>
  <c r="L328" i="46"/>
  <c r="L329" i="46"/>
  <c r="L337" i="46"/>
  <c r="L338" i="46"/>
  <c r="L339" i="46"/>
  <c r="L341" i="46"/>
  <c r="L342" i="46"/>
  <c r="L343" i="46"/>
  <c r="L345" i="46"/>
  <c r="L346" i="46"/>
  <c r="L347" i="46"/>
  <c r="L348" i="46"/>
  <c r="L349" i="46"/>
  <c r="L350" i="46"/>
  <c r="L351" i="46"/>
  <c r="K29" i="46"/>
  <c r="K30" i="46"/>
  <c r="K31" i="46"/>
  <c r="K32" i="46"/>
  <c r="K33" i="46"/>
  <c r="K34" i="46"/>
  <c r="K35" i="46"/>
  <c r="K36" i="46"/>
  <c r="K37" i="46"/>
  <c r="K38" i="46"/>
  <c r="K39" i="46"/>
  <c r="K40" i="46"/>
  <c r="K41" i="46"/>
  <c r="K42" i="46"/>
  <c r="K43" i="46"/>
  <c r="K44" i="46"/>
  <c r="K45" i="46"/>
  <c r="K46" i="46"/>
  <c r="K47" i="46"/>
  <c r="K49" i="46"/>
  <c r="K50" i="46"/>
  <c r="K51" i="46"/>
  <c r="K53" i="46"/>
  <c r="K54" i="46"/>
  <c r="K55" i="46"/>
  <c r="K56" i="46"/>
  <c r="K57" i="46"/>
  <c r="K58" i="46"/>
  <c r="K59" i="46"/>
  <c r="K60" i="46"/>
  <c r="K61" i="46"/>
  <c r="K62" i="46"/>
  <c r="K63" i="46"/>
  <c r="K64" i="46"/>
  <c r="K65" i="46"/>
  <c r="K66" i="46"/>
  <c r="K67" i="46"/>
  <c r="K68" i="46"/>
  <c r="K69" i="46"/>
  <c r="K71" i="46"/>
  <c r="K72" i="46"/>
  <c r="K73" i="46"/>
  <c r="K74" i="46"/>
  <c r="K75" i="46"/>
  <c r="K76" i="46"/>
  <c r="K77" i="46"/>
  <c r="K78" i="46"/>
  <c r="K79" i="46"/>
  <c r="K80" i="46"/>
  <c r="K81" i="46"/>
  <c r="K82" i="46"/>
  <c r="K83" i="46"/>
  <c r="K84" i="46"/>
  <c r="K87" i="46"/>
  <c r="K89" i="46"/>
  <c r="K90" i="46"/>
  <c r="K91" i="46"/>
  <c r="K92" i="46"/>
  <c r="K93" i="46"/>
  <c r="K94" i="46"/>
  <c r="K95" i="46"/>
  <c r="K96" i="46"/>
  <c r="K97" i="46"/>
  <c r="K98" i="46"/>
  <c r="K99" i="46"/>
  <c r="K101" i="46"/>
  <c r="K102" i="46"/>
  <c r="K103" i="46"/>
  <c r="K104" i="46"/>
  <c r="K105" i="46"/>
  <c r="K106" i="46"/>
  <c r="K107" i="46"/>
  <c r="K108" i="46"/>
  <c r="K109" i="46"/>
  <c r="K110" i="46"/>
  <c r="K111" i="46"/>
  <c r="K112" i="46"/>
  <c r="K113" i="46"/>
  <c r="K114" i="46"/>
  <c r="K115" i="46"/>
  <c r="K116" i="46"/>
  <c r="K117" i="46"/>
  <c r="K118" i="46"/>
  <c r="K119" i="46"/>
  <c r="K120" i="46"/>
  <c r="K121" i="46"/>
  <c r="K122" i="46"/>
  <c r="K123" i="46"/>
  <c r="K124" i="46"/>
  <c r="K125" i="46"/>
  <c r="K126" i="46"/>
  <c r="K127" i="46"/>
  <c r="K128" i="46"/>
  <c r="K129" i="46"/>
  <c r="K130" i="46"/>
  <c r="K132" i="46"/>
  <c r="K133" i="46"/>
  <c r="K134" i="46"/>
  <c r="K135" i="46"/>
  <c r="K136" i="46"/>
  <c r="K137" i="46"/>
  <c r="K138" i="46"/>
  <c r="K139" i="46"/>
  <c r="K140" i="46"/>
  <c r="K141" i="46"/>
  <c r="K142" i="46"/>
  <c r="K143" i="46"/>
  <c r="K144" i="46"/>
  <c r="K146" i="46"/>
  <c r="K147" i="46"/>
  <c r="K148" i="46"/>
  <c r="K149" i="46"/>
  <c r="K150" i="46"/>
  <c r="K151" i="46"/>
  <c r="K152" i="46"/>
  <c r="K153" i="46"/>
  <c r="K154" i="46"/>
  <c r="K155" i="46"/>
  <c r="K156" i="46"/>
  <c r="K157" i="46"/>
  <c r="K158" i="46"/>
  <c r="K159" i="46"/>
  <c r="K160" i="46"/>
  <c r="K161" i="46"/>
  <c r="K162" i="46"/>
  <c r="K163" i="46"/>
  <c r="K164" i="46"/>
  <c r="K165" i="46"/>
  <c r="K166" i="46"/>
  <c r="K168" i="46"/>
  <c r="K169" i="46"/>
  <c r="K170" i="46"/>
  <c r="K171" i="46"/>
  <c r="K172" i="46"/>
  <c r="K173" i="46"/>
  <c r="K174" i="46"/>
  <c r="K175" i="46"/>
  <c r="K176" i="46"/>
  <c r="K177" i="46"/>
  <c r="K178" i="46"/>
  <c r="K179" i="46"/>
  <c r="K180" i="46"/>
  <c r="K181" i="46"/>
  <c r="K183" i="46"/>
  <c r="K184" i="46"/>
  <c r="K185" i="46"/>
  <c r="K186" i="46"/>
  <c r="K187" i="46"/>
  <c r="K188" i="46"/>
  <c r="K189" i="46"/>
  <c r="K190" i="46"/>
  <c r="K191" i="46"/>
  <c r="K192" i="46"/>
  <c r="K193" i="46"/>
  <c r="K194" i="46"/>
  <c r="K195" i="46"/>
  <c r="K196" i="46"/>
  <c r="K197" i="46"/>
  <c r="K198" i="46"/>
  <c r="K199" i="46"/>
  <c r="K201" i="46"/>
  <c r="K202" i="46"/>
  <c r="K203" i="46"/>
  <c r="K204" i="46"/>
  <c r="K205" i="46"/>
  <c r="K206" i="46"/>
  <c r="K207" i="46"/>
  <c r="K208" i="46"/>
  <c r="K209" i="46"/>
  <c r="K210" i="46"/>
  <c r="K211" i="46"/>
  <c r="K213" i="46"/>
  <c r="K214" i="46"/>
  <c r="K215" i="46"/>
  <c r="K216" i="46"/>
  <c r="K217" i="46"/>
  <c r="K218" i="46"/>
  <c r="K219" i="46"/>
  <c r="K220" i="46"/>
  <c r="K221" i="46"/>
  <c r="K222" i="46"/>
  <c r="K223" i="46"/>
  <c r="K224" i="46"/>
  <c r="K225" i="46"/>
  <c r="K226" i="46"/>
  <c r="K227" i="46"/>
  <c r="K228" i="46"/>
  <c r="K229" i="46"/>
  <c r="K230" i="46"/>
  <c r="K232" i="46"/>
  <c r="K233" i="46"/>
  <c r="K234" i="46"/>
  <c r="K235" i="46"/>
  <c r="K240" i="46"/>
  <c r="K241" i="46"/>
  <c r="K242" i="46"/>
  <c r="K243" i="46"/>
  <c r="K244" i="46"/>
  <c r="K245" i="46"/>
  <c r="K246" i="46"/>
  <c r="K247" i="46"/>
  <c r="K249" i="46"/>
  <c r="K250" i="46"/>
  <c r="K251" i="46"/>
  <c r="K252" i="46"/>
  <c r="K253" i="46"/>
  <c r="K254" i="46"/>
  <c r="K255" i="46"/>
  <c r="K256" i="46"/>
  <c r="K257" i="46"/>
  <c r="K258" i="46"/>
  <c r="K259" i="46"/>
  <c r="K260" i="46"/>
  <c r="K262" i="46"/>
  <c r="K263" i="46"/>
  <c r="K264" i="46"/>
  <c r="K265" i="46"/>
  <c r="K266" i="46"/>
  <c r="K267" i="46"/>
  <c r="K268" i="46"/>
  <c r="K269" i="46"/>
  <c r="K270" i="46"/>
  <c r="K271" i="46"/>
  <c r="K272" i="46"/>
  <c r="K274" i="46"/>
  <c r="K275" i="46"/>
  <c r="K276" i="46"/>
  <c r="K277" i="46"/>
  <c r="K278" i="46"/>
  <c r="K279" i="46"/>
  <c r="K280" i="46"/>
  <c r="K281" i="46"/>
  <c r="K282" i="46"/>
  <c r="K283" i="46"/>
  <c r="K284" i="46"/>
  <c r="K285" i="46"/>
  <c r="K286" i="46"/>
  <c r="K287" i="46"/>
  <c r="K288" i="46"/>
  <c r="K289" i="46"/>
  <c r="K290" i="46"/>
  <c r="K291" i="46"/>
  <c r="K292" i="46"/>
  <c r="K293" i="46"/>
  <c r="K295" i="46"/>
  <c r="K296" i="46"/>
  <c r="K297" i="46"/>
  <c r="K298" i="46"/>
  <c r="K299" i="46"/>
  <c r="K300" i="46"/>
  <c r="K301" i="46"/>
  <c r="K302" i="46"/>
  <c r="K303" i="46"/>
  <c r="K304" i="46"/>
  <c r="K305" i="46"/>
  <c r="K306" i="46"/>
  <c r="K307" i="46"/>
  <c r="K308" i="46"/>
  <c r="K309" i="46"/>
  <c r="K310" i="46"/>
  <c r="K311" i="46"/>
  <c r="K312" i="46"/>
  <c r="K313" i="46"/>
  <c r="K314" i="46"/>
  <c r="K316" i="46"/>
  <c r="K317" i="46"/>
  <c r="K318" i="46"/>
  <c r="K319" i="46"/>
  <c r="K320" i="46"/>
  <c r="K321" i="46"/>
  <c r="K323" i="46"/>
  <c r="K324" i="46"/>
  <c r="K325" i="46"/>
  <c r="K326" i="46"/>
  <c r="K327" i="46"/>
  <c r="K328" i="46"/>
  <c r="K329" i="46"/>
  <c r="K337" i="46"/>
  <c r="K338" i="46"/>
  <c r="K341" i="46"/>
  <c r="K342" i="46"/>
  <c r="K345" i="46"/>
  <c r="K346" i="46"/>
  <c r="K347" i="46"/>
  <c r="K348" i="46"/>
  <c r="K349" i="46"/>
  <c r="K350" i="46"/>
  <c r="K351" i="46"/>
  <c r="J29" i="46"/>
  <c r="J30" i="46"/>
  <c r="J31" i="46"/>
  <c r="J32" i="46"/>
  <c r="J33" i="46"/>
  <c r="J34" i="46"/>
  <c r="J37" i="46"/>
  <c r="J38" i="46"/>
  <c r="J39" i="46"/>
  <c r="J40" i="46"/>
  <c r="J41" i="46"/>
  <c r="J42" i="46"/>
  <c r="J43" i="46"/>
  <c r="J44" i="46"/>
  <c r="J45" i="46"/>
  <c r="J46" i="46"/>
  <c r="J47" i="46"/>
  <c r="J49" i="46"/>
  <c r="J50" i="46"/>
  <c r="J51" i="46"/>
  <c r="J53" i="46"/>
  <c r="J54" i="46"/>
  <c r="J55" i="46"/>
  <c r="J56" i="46"/>
  <c r="J57" i="46"/>
  <c r="J58" i="46"/>
  <c r="J59" i="46"/>
  <c r="J61" i="46"/>
  <c r="J62" i="46"/>
  <c r="J63" i="46"/>
  <c r="J64" i="46"/>
  <c r="J65" i="46"/>
  <c r="J66" i="46"/>
  <c r="J67" i="46"/>
  <c r="J68" i="46"/>
  <c r="J69" i="46"/>
  <c r="J71" i="46"/>
  <c r="J72" i="46"/>
  <c r="J73" i="46"/>
  <c r="J74" i="46"/>
  <c r="J75" i="46"/>
  <c r="J76" i="46"/>
  <c r="J77" i="46"/>
  <c r="J78" i="46"/>
  <c r="J79" i="46"/>
  <c r="J80" i="46"/>
  <c r="J81" i="46"/>
  <c r="J82" i="46"/>
  <c r="J83" i="46"/>
  <c r="J84" i="46"/>
  <c r="J87" i="46"/>
  <c r="J89" i="46"/>
  <c r="J90" i="46"/>
  <c r="J91" i="46"/>
  <c r="J92" i="46"/>
  <c r="J93" i="46"/>
  <c r="J94" i="46"/>
  <c r="J95" i="46"/>
  <c r="J96" i="46"/>
  <c r="J97" i="46"/>
  <c r="J98" i="46"/>
  <c r="J99" i="46"/>
  <c r="J101" i="46"/>
  <c r="J102" i="46"/>
  <c r="J103" i="46"/>
  <c r="J104" i="46"/>
  <c r="J105" i="46"/>
  <c r="J106" i="46"/>
  <c r="J107" i="46"/>
  <c r="J108" i="46"/>
  <c r="J109" i="46"/>
  <c r="J110" i="46"/>
  <c r="J111" i="46"/>
  <c r="J112" i="46"/>
  <c r="J113" i="46"/>
  <c r="J114" i="46"/>
  <c r="J115" i="46"/>
  <c r="J116" i="46"/>
  <c r="J117" i="46"/>
  <c r="J118" i="46"/>
  <c r="J119" i="46"/>
  <c r="J120" i="46"/>
  <c r="J121" i="46"/>
  <c r="J122" i="46"/>
  <c r="J123" i="46"/>
  <c r="J124" i="46"/>
  <c r="J125" i="46"/>
  <c r="J126" i="46"/>
  <c r="J127" i="46"/>
  <c r="J128" i="46"/>
  <c r="J129" i="46"/>
  <c r="J130" i="46"/>
  <c r="J132" i="46"/>
  <c r="J133" i="46"/>
  <c r="J134" i="46"/>
  <c r="J135" i="46"/>
  <c r="J136" i="46"/>
  <c r="J137" i="46"/>
  <c r="J138" i="46"/>
  <c r="J139" i="46"/>
  <c r="J140" i="46"/>
  <c r="J141" i="46"/>
  <c r="J142" i="46"/>
  <c r="J143" i="46"/>
  <c r="J144" i="46"/>
  <c r="J146" i="46"/>
  <c r="J147" i="46"/>
  <c r="J148" i="46"/>
  <c r="J149" i="46"/>
  <c r="J150" i="46"/>
  <c r="J151" i="46"/>
  <c r="J152" i="46"/>
  <c r="J153" i="46"/>
  <c r="J154" i="46"/>
  <c r="J155" i="46"/>
  <c r="J156" i="46"/>
  <c r="J157" i="46"/>
  <c r="J158" i="46"/>
  <c r="J159" i="46"/>
  <c r="J160" i="46"/>
  <c r="J161" i="46"/>
  <c r="J162" i="46"/>
  <c r="J163" i="46"/>
  <c r="J164" i="46"/>
  <c r="J165" i="46"/>
  <c r="J166" i="46"/>
  <c r="J168" i="46"/>
  <c r="J169" i="46"/>
  <c r="J170" i="46"/>
  <c r="J171" i="46"/>
  <c r="J172" i="46"/>
  <c r="J173" i="46"/>
  <c r="J174" i="46"/>
  <c r="J175" i="46"/>
  <c r="J176" i="46"/>
  <c r="J177" i="46"/>
  <c r="J178" i="46"/>
  <c r="J179" i="46"/>
  <c r="J180" i="46"/>
  <c r="J181" i="46"/>
  <c r="J183" i="46"/>
  <c r="J184" i="46"/>
  <c r="J185" i="46"/>
  <c r="J186" i="46"/>
  <c r="J187" i="46"/>
  <c r="J188" i="46"/>
  <c r="J189" i="46"/>
  <c r="J190" i="46"/>
  <c r="J191" i="46"/>
  <c r="J192" i="46"/>
  <c r="J193" i="46"/>
  <c r="J194" i="46"/>
  <c r="J195" i="46"/>
  <c r="J196" i="46"/>
  <c r="J197" i="46"/>
  <c r="J198" i="46"/>
  <c r="J199" i="46"/>
  <c r="J201" i="46"/>
  <c r="J202" i="46"/>
  <c r="J203" i="46"/>
  <c r="J204" i="46"/>
  <c r="J205" i="46"/>
  <c r="J206" i="46"/>
  <c r="J207" i="46"/>
  <c r="J208" i="46"/>
  <c r="J209" i="46"/>
  <c r="J210" i="46"/>
  <c r="J211" i="46"/>
  <c r="J213" i="46"/>
  <c r="J214" i="46"/>
  <c r="J215" i="46"/>
  <c r="J216" i="46"/>
  <c r="J217" i="46"/>
  <c r="J218" i="46"/>
  <c r="J219" i="46"/>
  <c r="J220" i="46"/>
  <c r="J221" i="46"/>
  <c r="J222" i="46"/>
  <c r="J223" i="46"/>
  <c r="J224" i="46"/>
  <c r="J225" i="46"/>
  <c r="J226" i="46"/>
  <c r="J227" i="46"/>
  <c r="J228" i="46"/>
  <c r="J229" i="46"/>
  <c r="J230" i="46"/>
  <c r="J232" i="46"/>
  <c r="J233" i="46"/>
  <c r="J234" i="46"/>
  <c r="J235" i="46"/>
  <c r="J240" i="46"/>
  <c r="J241" i="46"/>
  <c r="J242" i="46"/>
  <c r="J243" i="46"/>
  <c r="J244" i="46"/>
  <c r="J245" i="46"/>
  <c r="J246" i="46"/>
  <c r="J247" i="46"/>
  <c r="J249" i="46"/>
  <c r="J250" i="46"/>
  <c r="J251" i="46"/>
  <c r="J252" i="46"/>
  <c r="J253" i="46"/>
  <c r="J254" i="46"/>
  <c r="J255" i="46"/>
  <c r="J256" i="46"/>
  <c r="J257" i="46"/>
  <c r="J258" i="46"/>
  <c r="J259" i="46"/>
  <c r="J260" i="46"/>
  <c r="J262" i="46"/>
  <c r="J263" i="46"/>
  <c r="J264" i="46"/>
  <c r="J265" i="46"/>
  <c r="J266" i="46"/>
  <c r="J267" i="46"/>
  <c r="J268" i="46"/>
  <c r="J269" i="46"/>
  <c r="J270" i="46"/>
  <c r="J271" i="46"/>
  <c r="J272" i="46"/>
  <c r="J274" i="46"/>
  <c r="J275" i="46"/>
  <c r="J276" i="46"/>
  <c r="J277" i="46"/>
  <c r="J278" i="46"/>
  <c r="J279" i="46"/>
  <c r="J280" i="46"/>
  <c r="J281" i="46"/>
  <c r="J282" i="46"/>
  <c r="J283" i="46"/>
  <c r="J284" i="46"/>
  <c r="J285" i="46"/>
  <c r="J286" i="46"/>
  <c r="J287" i="46"/>
  <c r="J288" i="46"/>
  <c r="J289" i="46"/>
  <c r="J290" i="46"/>
  <c r="J291" i="46"/>
  <c r="J292" i="46"/>
  <c r="J293" i="46"/>
  <c r="J295" i="46"/>
  <c r="J296" i="46"/>
  <c r="J297" i="46"/>
  <c r="J298" i="46"/>
  <c r="J299" i="46"/>
  <c r="J300" i="46"/>
  <c r="J301" i="46"/>
  <c r="J302" i="46"/>
  <c r="J303" i="46"/>
  <c r="J304" i="46"/>
  <c r="J305" i="46"/>
  <c r="J306" i="46"/>
  <c r="J307" i="46"/>
  <c r="J308" i="46"/>
  <c r="J309" i="46"/>
  <c r="J310" i="46"/>
  <c r="J311" i="46"/>
  <c r="J312" i="46"/>
  <c r="J313" i="46"/>
  <c r="J314" i="46"/>
  <c r="J316" i="46"/>
  <c r="J317" i="46"/>
  <c r="J318" i="46"/>
  <c r="J319" i="46"/>
  <c r="J320" i="46"/>
  <c r="J321" i="46"/>
  <c r="J323" i="46"/>
  <c r="J324" i="46"/>
  <c r="J325" i="46"/>
  <c r="J326" i="46"/>
  <c r="J327" i="46"/>
  <c r="J328" i="46"/>
  <c r="J329" i="46"/>
  <c r="J337" i="46"/>
  <c r="J338" i="46"/>
  <c r="J339" i="46"/>
  <c r="J342" i="46"/>
  <c r="J343" i="46"/>
  <c r="J346" i="46"/>
  <c r="J347" i="46"/>
  <c r="J348" i="46"/>
  <c r="J349" i="46"/>
  <c r="J350" i="46"/>
  <c r="J351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41" i="46"/>
  <c r="I42" i="46"/>
  <c r="I43" i="46"/>
  <c r="I44" i="46"/>
  <c r="I45" i="46"/>
  <c r="I46" i="46"/>
  <c r="I47" i="46"/>
  <c r="I49" i="46"/>
  <c r="I50" i="46"/>
  <c r="I51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1" i="46"/>
  <c r="I72" i="46"/>
  <c r="I73" i="46"/>
  <c r="I74" i="46"/>
  <c r="I75" i="46"/>
  <c r="I76" i="46"/>
  <c r="I77" i="46"/>
  <c r="I78" i="46"/>
  <c r="I79" i="46"/>
  <c r="I80" i="46"/>
  <c r="I81" i="46"/>
  <c r="I82" i="46"/>
  <c r="I83" i="46"/>
  <c r="I84" i="46"/>
  <c r="I87" i="46"/>
  <c r="I89" i="46"/>
  <c r="I90" i="46"/>
  <c r="I91" i="46"/>
  <c r="I92" i="46"/>
  <c r="I93" i="46"/>
  <c r="I94" i="46"/>
  <c r="I95" i="46"/>
  <c r="I96" i="46"/>
  <c r="I97" i="46"/>
  <c r="I98" i="46"/>
  <c r="I99" i="46"/>
  <c r="I101" i="46"/>
  <c r="I102" i="46"/>
  <c r="I103" i="46"/>
  <c r="I104" i="46"/>
  <c r="I105" i="46"/>
  <c r="I106" i="46"/>
  <c r="I107" i="46"/>
  <c r="I108" i="46"/>
  <c r="I109" i="46"/>
  <c r="I110" i="46"/>
  <c r="I111" i="46"/>
  <c r="I112" i="46"/>
  <c r="I113" i="46"/>
  <c r="I114" i="46"/>
  <c r="I115" i="46"/>
  <c r="I116" i="46"/>
  <c r="I117" i="46"/>
  <c r="I118" i="46"/>
  <c r="I119" i="46"/>
  <c r="I120" i="46"/>
  <c r="I121" i="46"/>
  <c r="I122" i="46"/>
  <c r="I123" i="46"/>
  <c r="I124" i="46"/>
  <c r="I125" i="46"/>
  <c r="I126" i="46"/>
  <c r="I127" i="46"/>
  <c r="I128" i="46"/>
  <c r="I129" i="46"/>
  <c r="I130" i="46"/>
  <c r="I132" i="46"/>
  <c r="I133" i="46"/>
  <c r="I134" i="46"/>
  <c r="I135" i="46"/>
  <c r="I136" i="46"/>
  <c r="I137" i="46"/>
  <c r="I138" i="46"/>
  <c r="I139" i="46"/>
  <c r="I140" i="46"/>
  <c r="I141" i="46"/>
  <c r="I142" i="46"/>
  <c r="I143" i="46"/>
  <c r="I144" i="46"/>
  <c r="I146" i="46"/>
  <c r="I147" i="46"/>
  <c r="I148" i="46"/>
  <c r="I149" i="46"/>
  <c r="I150" i="46"/>
  <c r="I151" i="46"/>
  <c r="I152" i="46"/>
  <c r="I153" i="46"/>
  <c r="I154" i="46"/>
  <c r="I155" i="46"/>
  <c r="I156" i="46"/>
  <c r="I157" i="46"/>
  <c r="I158" i="46"/>
  <c r="I159" i="46"/>
  <c r="I160" i="46"/>
  <c r="I161" i="46"/>
  <c r="I162" i="46"/>
  <c r="I163" i="46"/>
  <c r="I164" i="46"/>
  <c r="I165" i="46"/>
  <c r="I166" i="46"/>
  <c r="I168" i="46"/>
  <c r="I169" i="46"/>
  <c r="I170" i="46"/>
  <c r="I171" i="46"/>
  <c r="I172" i="46"/>
  <c r="I173" i="46"/>
  <c r="I174" i="46"/>
  <c r="I175" i="46"/>
  <c r="I176" i="46"/>
  <c r="I177" i="46"/>
  <c r="I178" i="46"/>
  <c r="I179" i="46"/>
  <c r="I180" i="46"/>
  <c r="I181" i="46"/>
  <c r="I183" i="46"/>
  <c r="I184" i="46"/>
  <c r="I185" i="46"/>
  <c r="I186" i="46"/>
  <c r="I187" i="46"/>
  <c r="I188" i="46"/>
  <c r="I189" i="46"/>
  <c r="I190" i="46"/>
  <c r="I191" i="46"/>
  <c r="I192" i="46"/>
  <c r="I193" i="46"/>
  <c r="I194" i="46"/>
  <c r="I195" i="46"/>
  <c r="I196" i="46"/>
  <c r="I197" i="46"/>
  <c r="I198" i="46"/>
  <c r="I199" i="46"/>
  <c r="I201" i="46"/>
  <c r="I202" i="46"/>
  <c r="I203" i="46"/>
  <c r="I204" i="46"/>
  <c r="I205" i="46"/>
  <c r="I206" i="46"/>
  <c r="I207" i="46"/>
  <c r="I208" i="46"/>
  <c r="I209" i="46"/>
  <c r="I210" i="46"/>
  <c r="I211" i="46"/>
  <c r="I213" i="46"/>
  <c r="I214" i="46"/>
  <c r="I215" i="46"/>
  <c r="I216" i="46"/>
  <c r="I217" i="46"/>
  <c r="I218" i="46"/>
  <c r="I219" i="46"/>
  <c r="I220" i="46"/>
  <c r="I221" i="46"/>
  <c r="I222" i="46"/>
  <c r="I223" i="46"/>
  <c r="I224" i="46"/>
  <c r="I225" i="46"/>
  <c r="I226" i="46"/>
  <c r="I227" i="46"/>
  <c r="I228" i="46"/>
  <c r="I229" i="46"/>
  <c r="I230" i="46"/>
  <c r="I231" i="46"/>
  <c r="I232" i="46"/>
  <c r="I233" i="46"/>
  <c r="I234" i="46"/>
  <c r="I235" i="46"/>
  <c r="I240" i="46"/>
  <c r="I241" i="46"/>
  <c r="I242" i="46"/>
  <c r="I243" i="46"/>
  <c r="I244" i="46"/>
  <c r="I245" i="46"/>
  <c r="I246" i="46"/>
  <c r="I247" i="46"/>
  <c r="I249" i="46"/>
  <c r="I250" i="46"/>
  <c r="I251" i="46"/>
  <c r="I252" i="46"/>
  <c r="I253" i="46"/>
  <c r="I254" i="46"/>
  <c r="I255" i="46"/>
  <c r="I256" i="46"/>
  <c r="I257" i="46"/>
  <c r="I258" i="46"/>
  <c r="I259" i="46"/>
  <c r="I260" i="46"/>
  <c r="I262" i="46"/>
  <c r="I263" i="46"/>
  <c r="I264" i="46"/>
  <c r="I265" i="46"/>
  <c r="I266" i="46"/>
  <c r="I267" i="46"/>
  <c r="I268" i="46"/>
  <c r="I269" i="46"/>
  <c r="I270" i="46"/>
  <c r="I271" i="46"/>
  <c r="I272" i="46"/>
  <c r="I274" i="46"/>
  <c r="I275" i="46"/>
  <c r="I276" i="46"/>
  <c r="I277" i="46"/>
  <c r="I278" i="46"/>
  <c r="I279" i="46"/>
  <c r="I280" i="46"/>
  <c r="I281" i="46"/>
  <c r="I282" i="46"/>
  <c r="I283" i="46"/>
  <c r="I284" i="46"/>
  <c r="I285" i="46"/>
  <c r="I286" i="46"/>
  <c r="I287" i="46"/>
  <c r="I288" i="46"/>
  <c r="I289" i="46"/>
  <c r="I290" i="46"/>
  <c r="I291" i="46"/>
  <c r="I292" i="46"/>
  <c r="I293" i="46"/>
  <c r="I295" i="46"/>
  <c r="I296" i="46"/>
  <c r="I297" i="46"/>
  <c r="I298" i="46"/>
  <c r="I299" i="46"/>
  <c r="I300" i="46"/>
  <c r="I301" i="46"/>
  <c r="I302" i="46"/>
  <c r="I303" i="46"/>
  <c r="I304" i="46"/>
  <c r="I305" i="46"/>
  <c r="I306" i="46"/>
  <c r="I307" i="46"/>
  <c r="I308" i="46"/>
  <c r="I309" i="46"/>
  <c r="I310" i="46"/>
  <c r="I311" i="46"/>
  <c r="I312" i="46"/>
  <c r="I313" i="46"/>
  <c r="I314" i="46"/>
  <c r="I316" i="46"/>
  <c r="I317" i="46"/>
  <c r="I318" i="46"/>
  <c r="I319" i="46"/>
  <c r="I320" i="46"/>
  <c r="I321" i="46"/>
  <c r="I323" i="46"/>
  <c r="I324" i="46"/>
  <c r="I325" i="46"/>
  <c r="I326" i="46"/>
  <c r="I327" i="46"/>
  <c r="I328" i="46"/>
  <c r="I329" i="46"/>
  <c r="I337" i="46"/>
  <c r="I338" i="46"/>
  <c r="I339" i="46"/>
  <c r="I341" i="46"/>
  <c r="I342" i="46"/>
  <c r="I343" i="46"/>
  <c r="I345" i="46"/>
  <c r="I346" i="46"/>
  <c r="I347" i="46"/>
  <c r="I348" i="46"/>
  <c r="I349" i="46"/>
  <c r="I350" i="46"/>
  <c r="I351" i="46"/>
  <c r="H365" i="46"/>
  <c r="B351" i="46"/>
  <c r="T336" i="46"/>
  <c r="B336" i="46"/>
  <c r="B335" i="46"/>
  <c r="B334" i="46"/>
  <c r="B333" i="46"/>
  <c r="B332" i="46"/>
  <c r="B331" i="46"/>
  <c r="B330" i="46"/>
  <c r="B329" i="46"/>
  <c r="B328" i="46"/>
  <c r="B327" i="46"/>
  <c r="B326" i="46"/>
  <c r="B325" i="46"/>
  <c r="B324" i="46"/>
  <c r="B323" i="46"/>
  <c r="B322" i="46"/>
  <c r="B321" i="46"/>
  <c r="B320" i="46"/>
  <c r="B319" i="46"/>
  <c r="B318" i="46"/>
  <c r="B317" i="46"/>
  <c r="B316" i="46"/>
  <c r="B315" i="46"/>
  <c r="B314" i="46"/>
  <c r="B313" i="46"/>
  <c r="B312" i="46"/>
  <c r="B311" i="46"/>
  <c r="B310" i="46"/>
  <c r="B309" i="46"/>
  <c r="B308" i="46"/>
  <c r="B307" i="46"/>
  <c r="B306" i="46"/>
  <c r="B305" i="46"/>
  <c r="B304" i="46"/>
  <c r="B303" i="46"/>
  <c r="B302" i="46"/>
  <c r="B301" i="46"/>
  <c r="B300" i="46"/>
  <c r="B299" i="46"/>
  <c r="B298" i="46"/>
  <c r="B297" i="46"/>
  <c r="B296" i="46"/>
  <c r="B295" i="46"/>
  <c r="B294" i="46"/>
  <c r="B293" i="46"/>
  <c r="B292" i="46"/>
  <c r="B291" i="46"/>
  <c r="B290" i="46"/>
  <c r="B289" i="46"/>
  <c r="B288" i="46"/>
  <c r="B287" i="46"/>
  <c r="B286" i="46"/>
  <c r="B285" i="46"/>
  <c r="B284" i="46"/>
  <c r="B283" i="46"/>
  <c r="B282" i="46"/>
  <c r="B281" i="46"/>
  <c r="B280" i="46"/>
  <c r="B279" i="46"/>
  <c r="B278" i="46"/>
  <c r="B277" i="46"/>
  <c r="B276" i="46"/>
  <c r="B275" i="46"/>
  <c r="B274" i="46"/>
  <c r="B273" i="46"/>
  <c r="R272" i="46"/>
  <c r="B272" i="46"/>
  <c r="B271" i="46"/>
  <c r="B270" i="46"/>
  <c r="B269" i="46"/>
  <c r="B268" i="46"/>
  <c r="B267" i="46"/>
  <c r="B266" i="46"/>
  <c r="B265" i="46"/>
  <c r="B264" i="46"/>
  <c r="B263" i="46"/>
  <c r="B262" i="46"/>
  <c r="B261" i="46"/>
  <c r="B260" i="46"/>
  <c r="B259" i="46"/>
  <c r="B258" i="46"/>
  <c r="B257" i="46"/>
  <c r="B256" i="46"/>
  <c r="B255" i="46"/>
  <c r="B254" i="46"/>
  <c r="B253" i="46"/>
  <c r="B252" i="46"/>
  <c r="B251" i="46"/>
  <c r="B250" i="46"/>
  <c r="B249" i="46"/>
  <c r="B248" i="46"/>
  <c r="B247" i="46"/>
  <c r="B246" i="46"/>
  <c r="B245" i="46"/>
  <c r="B244" i="46"/>
  <c r="B243" i="46"/>
  <c r="B242" i="46"/>
  <c r="B241" i="46"/>
  <c r="B240" i="46"/>
  <c r="B239" i="46"/>
  <c r="B238" i="46"/>
  <c r="B237" i="46"/>
  <c r="B236" i="46"/>
  <c r="B235" i="46"/>
  <c r="B234" i="46"/>
  <c r="B233" i="46"/>
  <c r="B232" i="46"/>
  <c r="B231" i="46"/>
  <c r="B230" i="46"/>
  <c r="B229" i="46"/>
  <c r="B228" i="46"/>
  <c r="B227" i="46"/>
  <c r="B226" i="46"/>
  <c r="B225" i="46"/>
  <c r="B224" i="46"/>
  <c r="B223" i="46"/>
  <c r="B222" i="46"/>
  <c r="B221" i="46"/>
  <c r="B220" i="46"/>
  <c r="B219" i="46"/>
  <c r="B218" i="46"/>
  <c r="B217" i="46"/>
  <c r="B216" i="46"/>
  <c r="B215" i="46"/>
  <c r="B214" i="46"/>
  <c r="B213" i="46"/>
  <c r="B212" i="46"/>
  <c r="B211" i="46"/>
  <c r="B210" i="46"/>
  <c r="B209" i="46"/>
  <c r="B208" i="46"/>
  <c r="B207" i="46"/>
  <c r="B206" i="46"/>
  <c r="B205" i="46"/>
  <c r="B204" i="46"/>
  <c r="B203" i="46"/>
  <c r="B202" i="46"/>
  <c r="B201" i="46"/>
  <c r="B200" i="46"/>
  <c r="B199" i="46"/>
  <c r="B198" i="46"/>
  <c r="B197" i="46"/>
  <c r="B196" i="46"/>
  <c r="B195" i="46"/>
  <c r="B194" i="46"/>
  <c r="B193" i="46"/>
  <c r="B192" i="46"/>
  <c r="B191" i="46"/>
  <c r="B190" i="46"/>
  <c r="B189" i="46"/>
  <c r="B188" i="46"/>
  <c r="B187" i="46"/>
  <c r="B186" i="46"/>
  <c r="B185" i="46"/>
  <c r="B184" i="46"/>
  <c r="B183" i="46"/>
  <c r="B182" i="46"/>
  <c r="B181" i="46"/>
  <c r="B180" i="46"/>
  <c r="B179" i="46"/>
  <c r="B178" i="46"/>
  <c r="B177" i="46"/>
  <c r="B176" i="46"/>
  <c r="B175" i="46"/>
  <c r="B174" i="46"/>
  <c r="B173" i="46"/>
  <c r="B172" i="46"/>
  <c r="B171" i="46"/>
  <c r="B170" i="46"/>
  <c r="B169" i="46"/>
  <c r="B168" i="46"/>
  <c r="B167" i="46"/>
  <c r="B166" i="46"/>
  <c r="B165" i="46"/>
  <c r="B164" i="46"/>
  <c r="B163" i="46"/>
  <c r="B162" i="46"/>
  <c r="B161" i="46"/>
  <c r="B160" i="46"/>
  <c r="B159" i="46"/>
  <c r="B158" i="46"/>
  <c r="B157" i="46"/>
  <c r="B156" i="46"/>
  <c r="B155" i="46"/>
  <c r="B154" i="46"/>
  <c r="B153" i="46"/>
  <c r="B152" i="46"/>
  <c r="B151" i="46"/>
  <c r="B150" i="46"/>
  <c r="B149" i="46"/>
  <c r="B148" i="46"/>
  <c r="B147" i="46"/>
  <c r="B146" i="46"/>
  <c r="B145" i="46"/>
  <c r="B144" i="46"/>
  <c r="B143" i="46"/>
  <c r="B142" i="46"/>
  <c r="B141" i="46"/>
  <c r="B140" i="46"/>
  <c r="B139" i="46"/>
  <c r="B138" i="46"/>
  <c r="B137" i="46"/>
  <c r="B136" i="46"/>
  <c r="B135" i="46"/>
  <c r="B134" i="46"/>
  <c r="B133" i="46"/>
  <c r="B132" i="46"/>
  <c r="B131" i="46"/>
  <c r="B130" i="46"/>
  <c r="B129" i="46"/>
  <c r="B128" i="46"/>
  <c r="B127" i="46"/>
  <c r="B126" i="46"/>
  <c r="B125" i="46"/>
  <c r="B124" i="46"/>
  <c r="B123" i="46"/>
  <c r="B122" i="46"/>
  <c r="B121" i="46"/>
  <c r="B120" i="46"/>
  <c r="B119" i="46"/>
  <c r="B118" i="46"/>
  <c r="B117" i="46"/>
  <c r="B116" i="46"/>
  <c r="B115" i="46"/>
  <c r="B114" i="46"/>
  <c r="B113" i="46"/>
  <c r="B112" i="46"/>
  <c r="B111" i="46"/>
  <c r="B110" i="46"/>
  <c r="B109" i="46"/>
  <c r="B108" i="46"/>
  <c r="B107" i="46"/>
  <c r="B106" i="46"/>
  <c r="B105" i="46"/>
  <c r="B104" i="46"/>
  <c r="B103" i="46"/>
  <c r="B102" i="46"/>
  <c r="B101" i="46"/>
  <c r="B100" i="46"/>
  <c r="B99" i="46"/>
  <c r="B98" i="46"/>
  <c r="B97" i="46"/>
  <c r="B96" i="46"/>
  <c r="B95" i="46"/>
  <c r="B94" i="46"/>
  <c r="B93" i="46"/>
  <c r="B92" i="46"/>
  <c r="B91" i="46"/>
  <c r="B90" i="46"/>
  <c r="B89" i="46"/>
  <c r="B88" i="46"/>
  <c r="R87" i="46"/>
  <c r="B87" i="46"/>
  <c r="B86" i="46"/>
  <c r="B85" i="46"/>
  <c r="B84" i="46"/>
  <c r="B83" i="46"/>
  <c r="B82" i="46"/>
  <c r="B81" i="46"/>
  <c r="B80" i="46"/>
  <c r="B79" i="46"/>
  <c r="B78" i="46"/>
  <c r="B77" i="46"/>
  <c r="B76" i="46"/>
  <c r="B75" i="46"/>
  <c r="B74" i="46"/>
  <c r="B73" i="46"/>
  <c r="B72" i="46"/>
  <c r="B71" i="46"/>
  <c r="P70" i="46"/>
  <c r="R70" i="46" s="1"/>
  <c r="B70" i="46"/>
  <c r="B69" i="46"/>
  <c r="B68" i="46"/>
  <c r="B67" i="46"/>
  <c r="B66" i="46"/>
  <c r="B65" i="46"/>
  <c r="B64" i="46"/>
  <c r="B63" i="46"/>
  <c r="B62" i="46"/>
  <c r="B61" i="46"/>
  <c r="P60" i="46"/>
  <c r="R60" i="46" s="1"/>
  <c r="B60" i="46"/>
  <c r="B59" i="46"/>
  <c r="B58" i="46"/>
  <c r="B57" i="46"/>
  <c r="B56" i="46"/>
  <c r="B55" i="46"/>
  <c r="B54" i="46"/>
  <c r="B53" i="46"/>
  <c r="B52" i="46"/>
  <c r="B51" i="46"/>
  <c r="B50" i="46"/>
  <c r="B49" i="46"/>
  <c r="B48" i="46"/>
  <c r="B47" i="46"/>
  <c r="B46" i="46"/>
  <c r="B45" i="46"/>
  <c r="B44" i="46"/>
  <c r="B43" i="46"/>
  <c r="B42" i="46"/>
  <c r="B41" i="46"/>
  <c r="B40" i="46"/>
  <c r="B39" i="46"/>
  <c r="B38" i="46"/>
  <c r="B37" i="46"/>
  <c r="B36" i="46"/>
  <c r="B35" i="46"/>
  <c r="B34" i="46"/>
  <c r="B33" i="46"/>
  <c r="B32" i="46"/>
  <c r="B31" i="46"/>
  <c r="B30" i="46"/>
  <c r="B29" i="46"/>
  <c r="B28" i="46"/>
  <c r="B27" i="46"/>
  <c r="B17" i="46"/>
  <c r="B16" i="46"/>
  <c r="B15" i="46"/>
  <c r="B14" i="46"/>
  <c r="B13" i="46"/>
  <c r="B12" i="46"/>
  <c r="B11" i="46"/>
  <c r="B10" i="46"/>
  <c r="B9" i="46"/>
  <c r="B8" i="46"/>
  <c r="B7" i="46"/>
  <c r="B6" i="46"/>
  <c r="B5" i="46"/>
  <c r="B4" i="46"/>
  <c r="B3" i="46"/>
  <c r="B2" i="46"/>
  <c r="C3" i="45"/>
  <c r="B360" i="45"/>
  <c r="B336" i="45"/>
  <c r="B335" i="45"/>
  <c r="B334" i="45"/>
  <c r="B333" i="45"/>
  <c r="B332" i="45"/>
  <c r="B331" i="45"/>
  <c r="B330" i="45"/>
  <c r="B329" i="45"/>
  <c r="B328" i="45"/>
  <c r="B327" i="45"/>
  <c r="B326" i="45"/>
  <c r="B325" i="45"/>
  <c r="B324" i="45"/>
  <c r="B323" i="45"/>
  <c r="B322" i="45"/>
  <c r="B321" i="45"/>
  <c r="B320" i="45"/>
  <c r="B319" i="45"/>
  <c r="B318" i="45"/>
  <c r="B317" i="45"/>
  <c r="B316" i="45"/>
  <c r="B315" i="45"/>
  <c r="B314" i="45"/>
  <c r="B313" i="45"/>
  <c r="B312" i="45"/>
  <c r="B311" i="45"/>
  <c r="B310" i="45"/>
  <c r="B309" i="45"/>
  <c r="B308" i="45"/>
  <c r="B307" i="45"/>
  <c r="B306" i="45"/>
  <c r="B305" i="45"/>
  <c r="B304" i="45"/>
  <c r="B303" i="45"/>
  <c r="B302" i="45"/>
  <c r="B301" i="45"/>
  <c r="B300" i="45"/>
  <c r="B299" i="45"/>
  <c r="B298" i="45"/>
  <c r="B297" i="45"/>
  <c r="B296" i="45"/>
  <c r="B295" i="45"/>
  <c r="B294" i="45"/>
  <c r="B293" i="45"/>
  <c r="B292" i="45"/>
  <c r="B291" i="45"/>
  <c r="B290" i="45"/>
  <c r="B289" i="45"/>
  <c r="B288" i="45"/>
  <c r="B287" i="45"/>
  <c r="B286" i="45"/>
  <c r="B285" i="45"/>
  <c r="B284" i="45"/>
  <c r="B283" i="45"/>
  <c r="B282" i="45"/>
  <c r="B281" i="45"/>
  <c r="B280" i="45"/>
  <c r="B279" i="45"/>
  <c r="B278" i="45"/>
  <c r="B277" i="45"/>
  <c r="B276" i="45"/>
  <c r="B275" i="45"/>
  <c r="B274" i="45"/>
  <c r="B273" i="45"/>
  <c r="B272" i="45"/>
  <c r="B271" i="45"/>
  <c r="B270" i="45"/>
  <c r="B269" i="45"/>
  <c r="B268" i="45"/>
  <c r="B267" i="45"/>
  <c r="B266" i="45"/>
  <c r="B265" i="45"/>
  <c r="B264" i="45"/>
  <c r="B263" i="45"/>
  <c r="B262" i="45"/>
  <c r="B261" i="45"/>
  <c r="B260" i="45"/>
  <c r="B259" i="45"/>
  <c r="B258" i="45"/>
  <c r="B257" i="45"/>
  <c r="B256" i="45"/>
  <c r="B255" i="45"/>
  <c r="B254" i="45"/>
  <c r="B253" i="45"/>
  <c r="B252" i="45"/>
  <c r="B251" i="45"/>
  <c r="B250" i="45"/>
  <c r="B249" i="45"/>
  <c r="B248" i="45"/>
  <c r="B247" i="45"/>
  <c r="B246" i="45"/>
  <c r="B245" i="45"/>
  <c r="B244" i="45"/>
  <c r="B243" i="45"/>
  <c r="B242" i="45"/>
  <c r="B241" i="45"/>
  <c r="B240" i="45"/>
  <c r="B239" i="45"/>
  <c r="B238" i="45"/>
  <c r="B237" i="45"/>
  <c r="B236" i="45"/>
  <c r="B235" i="45"/>
  <c r="B234" i="45"/>
  <c r="B233" i="45"/>
  <c r="B232" i="45"/>
  <c r="B231" i="45"/>
  <c r="B230" i="45"/>
  <c r="B229" i="45"/>
  <c r="B228" i="45"/>
  <c r="B227" i="45"/>
  <c r="B226" i="45"/>
  <c r="B225" i="45"/>
  <c r="B224" i="45"/>
  <c r="B223" i="45"/>
  <c r="B222" i="45"/>
  <c r="B221" i="45"/>
  <c r="B220" i="45"/>
  <c r="B219" i="45"/>
  <c r="B218" i="45"/>
  <c r="B217" i="45"/>
  <c r="B216" i="45"/>
  <c r="B215" i="45"/>
  <c r="B214" i="45"/>
  <c r="B213" i="45"/>
  <c r="B212" i="45"/>
  <c r="B211" i="45"/>
  <c r="B210" i="45"/>
  <c r="B209" i="45"/>
  <c r="B208" i="45"/>
  <c r="B207" i="45"/>
  <c r="B206" i="45"/>
  <c r="B205" i="45"/>
  <c r="B204" i="45"/>
  <c r="B203" i="45"/>
  <c r="B202" i="45"/>
  <c r="B201" i="45"/>
  <c r="B200" i="45"/>
  <c r="B199" i="45"/>
  <c r="B198" i="45"/>
  <c r="B197" i="45"/>
  <c r="B196" i="45"/>
  <c r="B195" i="45"/>
  <c r="B194" i="45"/>
  <c r="B193" i="45"/>
  <c r="B192" i="45"/>
  <c r="B191" i="45"/>
  <c r="B190" i="45"/>
  <c r="B189" i="45"/>
  <c r="B188" i="45"/>
  <c r="B187" i="45"/>
  <c r="B186" i="45"/>
  <c r="B185" i="45"/>
  <c r="B184" i="45"/>
  <c r="B183" i="45"/>
  <c r="B182" i="45"/>
  <c r="B181" i="45"/>
  <c r="B180" i="45"/>
  <c r="B179" i="45"/>
  <c r="B178" i="45"/>
  <c r="B177" i="45"/>
  <c r="B176" i="45"/>
  <c r="B175" i="45"/>
  <c r="B174" i="45"/>
  <c r="B173" i="45"/>
  <c r="B172" i="45"/>
  <c r="B171" i="45"/>
  <c r="B170" i="45"/>
  <c r="B169" i="45"/>
  <c r="B168" i="45"/>
  <c r="B167" i="45"/>
  <c r="B166" i="45"/>
  <c r="B165" i="45"/>
  <c r="B164" i="45"/>
  <c r="B163" i="45"/>
  <c r="B162" i="45"/>
  <c r="B161" i="45"/>
  <c r="B160" i="45"/>
  <c r="B159" i="45"/>
  <c r="B158" i="45"/>
  <c r="B157" i="45"/>
  <c r="B156" i="45"/>
  <c r="B155" i="45"/>
  <c r="B154" i="45"/>
  <c r="B153" i="45"/>
  <c r="B152" i="45"/>
  <c r="B151" i="45"/>
  <c r="B150" i="45"/>
  <c r="B149" i="45"/>
  <c r="B148" i="45"/>
  <c r="B147" i="45"/>
  <c r="B146" i="45"/>
  <c r="B145" i="45"/>
  <c r="B144" i="45"/>
  <c r="B143" i="45"/>
  <c r="B142" i="45"/>
  <c r="B141" i="45"/>
  <c r="B140" i="45"/>
  <c r="B139" i="45"/>
  <c r="B138" i="45"/>
  <c r="B137" i="45"/>
  <c r="B136" i="45"/>
  <c r="B135" i="45"/>
  <c r="B134" i="45"/>
  <c r="B133" i="45"/>
  <c r="B132" i="45"/>
  <c r="B131" i="45"/>
  <c r="B130" i="45"/>
  <c r="B129" i="45"/>
  <c r="B128" i="45"/>
  <c r="B127" i="45"/>
  <c r="B126" i="45"/>
  <c r="B125" i="45"/>
  <c r="B124" i="45"/>
  <c r="B123" i="45"/>
  <c r="B122" i="45"/>
  <c r="B121" i="45"/>
  <c r="B120" i="45"/>
  <c r="B119" i="45"/>
  <c r="B118" i="45"/>
  <c r="B117" i="45"/>
  <c r="B116" i="45"/>
  <c r="B115" i="45"/>
  <c r="B114" i="45"/>
  <c r="B113" i="45"/>
  <c r="B112" i="45"/>
  <c r="B111" i="45"/>
  <c r="B110" i="45"/>
  <c r="B109" i="45"/>
  <c r="B108" i="45"/>
  <c r="B107" i="45"/>
  <c r="B106" i="45"/>
  <c r="B105" i="45"/>
  <c r="B104" i="45"/>
  <c r="B103" i="45"/>
  <c r="B102" i="45"/>
  <c r="B101" i="45"/>
  <c r="B100" i="45"/>
  <c r="B99" i="45"/>
  <c r="B98" i="45"/>
  <c r="B97" i="45"/>
  <c r="B96" i="45"/>
  <c r="B95" i="45"/>
  <c r="B94" i="45"/>
  <c r="B93" i="45"/>
  <c r="B92" i="45"/>
  <c r="B91" i="45"/>
  <c r="B90" i="45"/>
  <c r="B89" i="45"/>
  <c r="B88" i="45"/>
  <c r="B87" i="45"/>
  <c r="B86" i="45"/>
  <c r="B85" i="45"/>
  <c r="B84" i="45"/>
  <c r="B83" i="45"/>
  <c r="B82" i="45"/>
  <c r="B81" i="45"/>
  <c r="B80" i="45"/>
  <c r="B79" i="45"/>
  <c r="B78" i="45"/>
  <c r="B77" i="45"/>
  <c r="B76" i="45"/>
  <c r="B75" i="45"/>
  <c r="B74" i="45"/>
  <c r="B73" i="45"/>
  <c r="B72" i="45"/>
  <c r="B71" i="45"/>
  <c r="B70" i="45"/>
  <c r="B69" i="45"/>
  <c r="B68" i="45"/>
  <c r="B67" i="45"/>
  <c r="B66" i="45"/>
  <c r="B65" i="45"/>
  <c r="B64" i="45"/>
  <c r="B63" i="45"/>
  <c r="B62" i="45"/>
  <c r="B61" i="45"/>
  <c r="B60" i="45"/>
  <c r="B59" i="45"/>
  <c r="B58" i="45"/>
  <c r="B57" i="45"/>
  <c r="B56" i="45"/>
  <c r="B55" i="45"/>
  <c r="B54" i="45"/>
  <c r="B53" i="45"/>
  <c r="B52" i="45"/>
  <c r="B51" i="45"/>
  <c r="B50" i="45"/>
  <c r="B49" i="45"/>
  <c r="M27" i="46"/>
  <c r="B48" i="45"/>
  <c r="B47" i="45"/>
  <c r="B46" i="45"/>
  <c r="B45" i="45"/>
  <c r="B44" i="45"/>
  <c r="B43" i="45"/>
  <c r="B42" i="45"/>
  <c r="B41" i="45"/>
  <c r="B40" i="45"/>
  <c r="B39" i="45"/>
  <c r="B38" i="45"/>
  <c r="B37" i="45"/>
  <c r="B36" i="45"/>
  <c r="B35" i="45"/>
  <c r="B34" i="45"/>
  <c r="B33" i="45"/>
  <c r="B32" i="45"/>
  <c r="B31" i="45"/>
  <c r="B30" i="45"/>
  <c r="B29" i="45"/>
  <c r="B28" i="45"/>
  <c r="B27" i="45"/>
  <c r="B17" i="45"/>
  <c r="B16" i="45"/>
  <c r="B15" i="45"/>
  <c r="B14" i="45"/>
  <c r="B13" i="45"/>
  <c r="B12" i="45"/>
  <c r="B11" i="45"/>
  <c r="B10" i="45"/>
  <c r="B9" i="45"/>
  <c r="B8" i="45"/>
  <c r="B7" i="45"/>
  <c r="B6" i="45"/>
  <c r="B5" i="45"/>
  <c r="B4" i="45"/>
  <c r="B3" i="45"/>
  <c r="B2" i="45"/>
  <c r="H337" i="45" l="1"/>
  <c r="C2" i="45"/>
  <c r="D332" i="48"/>
  <c r="N352" i="47"/>
  <c r="O352" i="47" s="1"/>
  <c r="N360" i="47"/>
  <c r="O360" i="47" s="1"/>
  <c r="F238" i="41"/>
  <c r="F238" i="39"/>
  <c r="F238" i="1"/>
  <c r="F238" i="38"/>
  <c r="F238" i="31"/>
  <c r="F238" i="44"/>
  <c r="F238" i="36"/>
  <c r="F238" i="40"/>
  <c r="F238" i="30"/>
  <c r="F238" i="32"/>
  <c r="F238" i="45"/>
  <c r="F323" i="41"/>
  <c r="F323" i="44"/>
  <c r="F323" i="45"/>
  <c r="F323" i="40"/>
  <c r="F323" i="39"/>
  <c r="F323" i="38"/>
  <c r="F323" i="36"/>
  <c r="F323" i="31"/>
  <c r="F323" i="32"/>
  <c r="F323" i="30"/>
  <c r="F323" i="1"/>
  <c r="F229" i="44"/>
  <c r="F229" i="45"/>
  <c r="F229" i="40"/>
  <c r="F229" i="41"/>
  <c r="F229" i="38"/>
  <c r="F229" i="36"/>
  <c r="F229" i="39"/>
  <c r="F229" i="31"/>
  <c r="F229" i="30"/>
  <c r="F229" i="32"/>
  <c r="F229" i="1"/>
  <c r="F326" i="44"/>
  <c r="F326" i="41"/>
  <c r="F326" i="30"/>
  <c r="F326" i="40"/>
  <c r="F326" i="38"/>
  <c r="F326" i="39"/>
  <c r="F326" i="36"/>
  <c r="F326" i="31"/>
  <c r="F326" i="32"/>
  <c r="F326" i="1"/>
  <c r="F326" i="45"/>
  <c r="D361" i="48"/>
  <c r="N343" i="47"/>
  <c r="O260" i="46"/>
  <c r="P260" i="46" s="1"/>
  <c r="R260" i="46" s="1"/>
  <c r="O129" i="46"/>
  <c r="O44" i="46"/>
  <c r="O140" i="46"/>
  <c r="O68" i="46"/>
  <c r="O295" i="46"/>
  <c r="O243" i="46"/>
  <c r="P243" i="46" s="1"/>
  <c r="R243" i="46" s="1"/>
  <c r="O97" i="46"/>
  <c r="O69" i="46"/>
  <c r="F335" i="38"/>
  <c r="F335" i="44"/>
  <c r="F335" i="39"/>
  <c r="F335" i="32"/>
  <c r="F335" i="1"/>
  <c r="F335" i="41"/>
  <c r="F335" i="36"/>
  <c r="F335" i="45"/>
  <c r="F335" i="40"/>
  <c r="F335" i="31"/>
  <c r="F335" i="30"/>
  <c r="O321" i="46"/>
  <c r="O264" i="46"/>
  <c r="O189" i="46"/>
  <c r="O293" i="46"/>
  <c r="O98" i="46"/>
  <c r="O71" i="46"/>
  <c r="O50" i="46"/>
  <c r="P50" i="46" s="1"/>
  <c r="R50" i="46" s="1"/>
  <c r="O37" i="46"/>
  <c r="O297" i="46"/>
  <c r="O222" i="46"/>
  <c r="O126" i="46"/>
  <c r="O67" i="46"/>
  <c r="O61" i="46"/>
  <c r="O55" i="46"/>
  <c r="O47" i="46"/>
  <c r="O143" i="46"/>
  <c r="O218" i="46"/>
  <c r="O104" i="46"/>
  <c r="O63" i="46"/>
  <c r="O83" i="46"/>
  <c r="O255" i="46"/>
  <c r="O209" i="46"/>
  <c r="O62" i="46"/>
  <c r="O123" i="46"/>
  <c r="O111" i="46"/>
  <c r="O92" i="46"/>
  <c r="O77" i="46"/>
  <c r="O227" i="46"/>
  <c r="O125" i="46"/>
  <c r="O99" i="46"/>
  <c r="O84" i="46"/>
  <c r="O72" i="46"/>
  <c r="O65" i="46"/>
  <c r="O59" i="46"/>
  <c r="O45" i="46"/>
  <c r="P45" i="46" s="1"/>
  <c r="R45" i="46" s="1"/>
  <c r="O39" i="46"/>
  <c r="O251" i="46"/>
  <c r="O66" i="46"/>
  <c r="O79" i="46"/>
  <c r="O73" i="46"/>
  <c r="O137" i="46"/>
  <c r="O130" i="46"/>
  <c r="O56" i="46"/>
  <c r="O58" i="46"/>
  <c r="O317" i="46"/>
  <c r="O240" i="46"/>
  <c r="O197" i="46"/>
  <c r="O134" i="46"/>
  <c r="O78" i="46"/>
  <c r="O53" i="46"/>
  <c r="O150" i="46"/>
  <c r="O38" i="46"/>
  <c r="O258" i="46"/>
  <c r="O283" i="46"/>
  <c r="O139" i="46"/>
  <c r="O265" i="46"/>
  <c r="O252" i="46"/>
  <c r="O228" i="46"/>
  <c r="O112" i="46"/>
  <c r="O319" i="46"/>
  <c r="O247" i="46"/>
  <c r="O155" i="46"/>
  <c r="O142" i="46"/>
  <c r="O224" i="46"/>
  <c r="O128" i="46"/>
  <c r="O122" i="46"/>
  <c r="O57" i="46"/>
  <c r="O287" i="46"/>
  <c r="O249" i="46"/>
  <c r="O180" i="46"/>
  <c r="O275" i="46"/>
  <c r="O246" i="46"/>
  <c r="O127" i="46"/>
  <c r="O41" i="46"/>
  <c r="P41" i="46" s="1"/>
  <c r="O313" i="46"/>
  <c r="O124" i="46"/>
  <c r="O43" i="46"/>
  <c r="O215" i="46"/>
  <c r="O320" i="46"/>
  <c r="O244" i="46"/>
  <c r="P244" i="46" s="1"/>
  <c r="R244" i="46" s="1"/>
  <c r="O46" i="46"/>
  <c r="O156" i="46"/>
  <c r="O216" i="46"/>
  <c r="O221" i="46"/>
  <c r="O81" i="46"/>
  <c r="O32" i="46"/>
  <c r="O178" i="46"/>
  <c r="O157" i="46"/>
  <c r="O133" i="46"/>
  <c r="O107" i="46"/>
  <c r="O116" i="46"/>
  <c r="M60" i="46"/>
  <c r="M60" i="47"/>
  <c r="O149" i="46"/>
  <c r="O105" i="46"/>
  <c r="O75" i="46"/>
  <c r="O54" i="46"/>
  <c r="O177" i="46"/>
  <c r="O166" i="46"/>
  <c r="O95" i="46"/>
  <c r="O153" i="46"/>
  <c r="O109" i="46"/>
  <c r="O96" i="46"/>
  <c r="O90" i="46"/>
  <c r="O113" i="46"/>
  <c r="O29" i="46"/>
  <c r="O30" i="46"/>
  <c r="O187" i="46"/>
  <c r="O302" i="46"/>
  <c r="O163" i="46"/>
  <c r="O114" i="46"/>
  <c r="O108" i="46"/>
  <c r="O102" i="46"/>
  <c r="O119" i="46"/>
  <c r="O101" i="46"/>
  <c r="O33" i="46"/>
  <c r="O168" i="46"/>
  <c r="O148" i="46"/>
  <c r="O89" i="46"/>
  <c r="O80" i="46"/>
  <c r="O51" i="46"/>
  <c r="F49" i="48"/>
  <c r="F238" i="48"/>
  <c r="N237" i="47"/>
  <c r="F237" i="48"/>
  <c r="F334" i="48"/>
  <c r="F335" i="48"/>
  <c r="M231" i="47"/>
  <c r="M231" i="46"/>
  <c r="M48" i="46"/>
  <c r="M48" i="47"/>
  <c r="O230" i="46"/>
  <c r="O170" i="46"/>
  <c r="O162" i="46"/>
  <c r="O120" i="46"/>
  <c r="O91" i="46"/>
  <c r="O74" i="46"/>
  <c r="O64" i="46"/>
  <c r="O325" i="46"/>
  <c r="O299" i="46"/>
  <c r="O311" i="46"/>
  <c r="O42" i="46"/>
  <c r="O256" i="46"/>
  <c r="P256" i="46" s="1"/>
  <c r="R256" i="46" s="1"/>
  <c r="M11" i="46"/>
  <c r="M11" i="47"/>
  <c r="M17" i="46"/>
  <c r="M14" i="47"/>
  <c r="M14" i="46"/>
  <c r="M15" i="46"/>
  <c r="M15" i="47"/>
  <c r="M12" i="46"/>
  <c r="M12" i="47"/>
  <c r="M16" i="46"/>
  <c r="M16" i="47"/>
  <c r="M13" i="46"/>
  <c r="M13" i="47"/>
  <c r="N334" i="47"/>
  <c r="M336" i="46"/>
  <c r="M336" i="47"/>
  <c r="N352" i="46"/>
  <c r="N335" i="47"/>
  <c r="N335" i="46"/>
  <c r="M322" i="46"/>
  <c r="M322" i="47"/>
  <c r="M315" i="46"/>
  <c r="M315" i="47"/>
  <c r="M294" i="47"/>
  <c r="M294" i="46"/>
  <c r="M273" i="47"/>
  <c r="M273" i="46"/>
  <c r="M261" i="46"/>
  <c r="M261" i="47"/>
  <c r="M248" i="46"/>
  <c r="M248" i="47"/>
  <c r="M239" i="47"/>
  <c r="M239" i="46"/>
  <c r="M212" i="46"/>
  <c r="M212" i="47"/>
  <c r="M200" i="46"/>
  <c r="M200" i="47"/>
  <c r="M182" i="46"/>
  <c r="M182" i="47"/>
  <c r="M167" i="46"/>
  <c r="M167" i="47"/>
  <c r="M145" i="47"/>
  <c r="M145" i="46"/>
  <c r="M131" i="47"/>
  <c r="M131" i="46"/>
  <c r="M88" i="46"/>
  <c r="M88" i="47"/>
  <c r="M70" i="46"/>
  <c r="M70" i="47"/>
  <c r="M52" i="47"/>
  <c r="M52" i="46"/>
  <c r="M8" i="46"/>
  <c r="M8" i="47"/>
  <c r="M7" i="46"/>
  <c r="M7" i="47"/>
  <c r="M6" i="46"/>
  <c r="M6" i="47"/>
  <c r="M3" i="46"/>
  <c r="M3" i="47"/>
  <c r="M5" i="46"/>
  <c r="M5" i="47"/>
  <c r="M10" i="47"/>
  <c r="M10" i="46"/>
  <c r="M4" i="46"/>
  <c r="M4" i="47"/>
  <c r="M9" i="46"/>
  <c r="M9" i="47"/>
  <c r="O49" i="46"/>
  <c r="O278" i="46"/>
  <c r="O82" i="46"/>
  <c r="O323" i="46"/>
  <c r="O324" i="46"/>
  <c r="O316" i="46"/>
  <c r="O308" i="46"/>
  <c r="O309" i="46"/>
  <c r="O305" i="46"/>
  <c r="O303" i="46"/>
  <c r="O296" i="46"/>
  <c r="O289" i="46"/>
  <c r="O284" i="46"/>
  <c r="O280" i="46"/>
  <c r="O285" i="46"/>
  <c r="O242" i="46"/>
  <c r="O208" i="46"/>
  <c r="O202" i="46"/>
  <c r="O183" i="46"/>
  <c r="O188" i="46"/>
  <c r="O196" i="46"/>
  <c r="O171" i="46"/>
  <c r="O172" i="46"/>
  <c r="O175" i="46"/>
  <c r="O159" i="46"/>
  <c r="O154" i="46"/>
  <c r="O136" i="46"/>
  <c r="O103" i="46"/>
  <c r="O117" i="46"/>
  <c r="O106" i="46"/>
  <c r="O93" i="46"/>
  <c r="O94" i="46"/>
  <c r="O76" i="46"/>
  <c r="O40" i="46"/>
  <c r="O34" i="46"/>
  <c r="M100" i="46"/>
  <c r="M100" i="47"/>
  <c r="N361" i="47"/>
  <c r="M28" i="47"/>
  <c r="M28" i="46"/>
  <c r="M27" i="47"/>
  <c r="O54" i="47"/>
  <c r="O211" i="46"/>
  <c r="O254" i="46"/>
  <c r="O262" i="46"/>
  <c r="O152" i="46"/>
  <c r="O146" i="46"/>
  <c r="O210" i="46"/>
  <c r="O190" i="46"/>
  <c r="O160" i="46"/>
  <c r="O279" i="47"/>
  <c r="O285" i="47"/>
  <c r="O309" i="47"/>
  <c r="O321" i="47"/>
  <c r="O66" i="47"/>
  <c r="O72" i="47"/>
  <c r="O78" i="47"/>
  <c r="O96" i="47"/>
  <c r="O38" i="47"/>
  <c r="O41" i="47"/>
  <c r="O44" i="47"/>
  <c r="O49" i="47"/>
  <c r="O55" i="47"/>
  <c r="O61" i="47"/>
  <c r="O67" i="47"/>
  <c r="O73" i="47"/>
  <c r="O79" i="47"/>
  <c r="O90" i="47"/>
  <c r="O107" i="47"/>
  <c r="O119" i="47"/>
  <c r="O56" i="47"/>
  <c r="O62" i="47"/>
  <c r="O68" i="47"/>
  <c r="O74" i="47"/>
  <c r="O80" i="47"/>
  <c r="O91" i="47"/>
  <c r="O102" i="47"/>
  <c r="O108" i="47"/>
  <c r="O114" i="47"/>
  <c r="O120" i="47"/>
  <c r="O132" i="47"/>
  <c r="O150" i="47"/>
  <c r="O162" i="47"/>
  <c r="O168" i="47"/>
  <c r="O174" i="47"/>
  <c r="O275" i="47"/>
  <c r="O281" i="47"/>
  <c r="O293" i="47"/>
  <c r="O299" i="47"/>
  <c r="O305" i="47"/>
  <c r="O311" i="47"/>
  <c r="O317" i="47"/>
  <c r="O329" i="47"/>
  <c r="O39" i="47"/>
  <c r="O42" i="47"/>
  <c r="O50" i="47"/>
  <c r="P50" i="47" s="1"/>
  <c r="R50" i="47" s="1"/>
  <c r="O93" i="47"/>
  <c r="O98" i="47"/>
  <c r="O104" i="47"/>
  <c r="O110" i="47"/>
  <c r="O116" i="47"/>
  <c r="O122" i="47"/>
  <c r="S123" i="47" s="1"/>
  <c r="O134" i="47"/>
  <c r="O43" i="47"/>
  <c r="O47" i="47"/>
  <c r="O53" i="47"/>
  <c r="O59" i="47"/>
  <c r="O65" i="47"/>
  <c r="O71" i="47"/>
  <c r="O77" i="47"/>
  <c r="O83" i="47"/>
  <c r="O105" i="47"/>
  <c r="O111" i="47"/>
  <c r="O117" i="47"/>
  <c r="O123" i="47"/>
  <c r="O129" i="47"/>
  <c r="O141" i="47"/>
  <c r="O153" i="47"/>
  <c r="O159" i="47"/>
  <c r="O165" i="47"/>
  <c r="O171" i="47"/>
  <c r="O177" i="47"/>
  <c r="O183" i="47"/>
  <c r="O189" i="47"/>
  <c r="O195" i="47"/>
  <c r="O201" i="47"/>
  <c r="O207" i="47"/>
  <c r="O213" i="47"/>
  <c r="O219" i="47"/>
  <c r="O225" i="47"/>
  <c r="O243" i="47"/>
  <c r="O249" i="47"/>
  <c r="O255" i="47"/>
  <c r="O267" i="47"/>
  <c r="O278" i="47"/>
  <c r="O290" i="47"/>
  <c r="O308" i="47"/>
  <c r="O320" i="47"/>
  <c r="O31" i="46"/>
  <c r="O46" i="47"/>
  <c r="O58" i="47"/>
  <c r="O64" i="47"/>
  <c r="O76" i="47"/>
  <c r="O40" i="47"/>
  <c r="O94" i="47"/>
  <c r="S94" i="47" s="1"/>
  <c r="O106" i="47"/>
  <c r="O112" i="47"/>
  <c r="O118" i="47"/>
  <c r="O136" i="47"/>
  <c r="O148" i="47"/>
  <c r="O154" i="47"/>
  <c r="O160" i="47"/>
  <c r="O166" i="47"/>
  <c r="O172" i="47"/>
  <c r="O196" i="47"/>
  <c r="O214" i="47"/>
  <c r="O226" i="47"/>
  <c r="O232" i="47"/>
  <c r="O137" i="47"/>
  <c r="O143" i="47"/>
  <c r="O149" i="47"/>
  <c r="O155" i="47"/>
  <c r="O173" i="47"/>
  <c r="O179" i="47"/>
  <c r="O185" i="47"/>
  <c r="O191" i="47"/>
  <c r="O197" i="47"/>
  <c r="O203" i="47"/>
  <c r="O209" i="47"/>
  <c r="O221" i="47"/>
  <c r="O227" i="47"/>
  <c r="O245" i="47"/>
  <c r="O251" i="47"/>
  <c r="O257" i="47"/>
  <c r="O263" i="47"/>
  <c r="O269" i="47"/>
  <c r="O274" i="47"/>
  <c r="O280" i="47"/>
  <c r="O286" i="47"/>
  <c r="O328" i="47"/>
  <c r="O140" i="47"/>
  <c r="O164" i="47"/>
  <c r="O176" i="47"/>
  <c r="O194" i="47"/>
  <c r="O218" i="47"/>
  <c r="O230" i="47"/>
  <c r="O242" i="47"/>
  <c r="O254" i="47"/>
  <c r="O260" i="47"/>
  <c r="P260" i="47" s="1"/>
  <c r="R260" i="47" s="1"/>
  <c r="O266" i="47"/>
  <c r="O277" i="47"/>
  <c r="O283" i="47"/>
  <c r="O289" i="47"/>
  <c r="O295" i="47"/>
  <c r="O313" i="47"/>
  <c r="O325" i="47"/>
  <c r="O180" i="47"/>
  <c r="O186" i="47"/>
  <c r="O192" i="47"/>
  <c r="O198" i="47"/>
  <c r="O45" i="47"/>
  <c r="P45" i="47" s="1"/>
  <c r="R45" i="47" s="1"/>
  <c r="O51" i="47"/>
  <c r="O63" i="47"/>
  <c r="O69" i="47"/>
  <c r="O75" i="47"/>
  <c r="O81" i="47"/>
  <c r="O92" i="47"/>
  <c r="O97" i="47"/>
  <c r="O103" i="47"/>
  <c r="O109" i="47"/>
  <c r="O115" i="47"/>
  <c r="O121" i="47"/>
  <c r="O139" i="47"/>
  <c r="O157" i="47"/>
  <c r="O163" i="47"/>
  <c r="O169" i="47"/>
  <c r="O181" i="47"/>
  <c r="O187" i="47"/>
  <c r="O205" i="47"/>
  <c r="O217" i="47"/>
  <c r="O223" i="47"/>
  <c r="O235" i="47"/>
  <c r="O271" i="47"/>
  <c r="O288" i="47"/>
  <c r="O318" i="47"/>
  <c r="O324" i="47"/>
  <c r="O204" i="47"/>
  <c r="O210" i="47"/>
  <c r="O216" i="47"/>
  <c r="O222" i="47"/>
  <c r="O228" i="47"/>
  <c r="O252" i="47"/>
  <c r="O258" i="47"/>
  <c r="P258" i="47" s="1"/>
  <c r="R258" i="47" s="1"/>
  <c r="O264" i="47"/>
  <c r="O270" i="47"/>
  <c r="O82" i="47"/>
  <c r="O126" i="47"/>
  <c r="O133" i="47"/>
  <c r="O144" i="47"/>
  <c r="O151" i="47"/>
  <c r="O158" i="47"/>
  <c r="O57" i="47"/>
  <c r="O84" i="47"/>
  <c r="O124" i="47"/>
  <c r="O127" i="47"/>
  <c r="O138" i="47"/>
  <c r="O152" i="47"/>
  <c r="O135" i="47"/>
  <c r="O142" i="47"/>
  <c r="O156" i="47"/>
  <c r="O99" i="47"/>
  <c r="O113" i="47"/>
  <c r="O125" i="47"/>
  <c r="O128" i="47"/>
  <c r="O130" i="47"/>
  <c r="O147" i="47"/>
  <c r="O161" i="47"/>
  <c r="O314" i="47"/>
  <c r="O326" i="47"/>
  <c r="O170" i="47"/>
  <c r="O178" i="47"/>
  <c r="O193" i="47"/>
  <c r="O211" i="47"/>
  <c r="O215" i="47"/>
  <c r="O224" i="47"/>
  <c r="O241" i="47"/>
  <c r="O250" i="47"/>
  <c r="P250" i="47" s="1"/>
  <c r="R250" i="47" s="1"/>
  <c r="O259" i="47"/>
  <c r="P259" i="47" s="1"/>
  <c r="R259" i="47" s="1"/>
  <c r="O268" i="47"/>
  <c r="O276" i="47"/>
  <c r="O287" i="47"/>
  <c r="O300" i="47"/>
  <c r="O306" i="47"/>
  <c r="O319" i="47"/>
  <c r="O323" i="47"/>
  <c r="O327" i="47"/>
  <c r="O190" i="47"/>
  <c r="O208" i="47"/>
  <c r="O220" i="47"/>
  <c r="O229" i="47"/>
  <c r="O233" i="47"/>
  <c r="O284" i="47"/>
  <c r="O291" i="47"/>
  <c r="O301" i="47"/>
  <c r="O307" i="47"/>
  <c r="O312" i="47"/>
  <c r="O316" i="47"/>
  <c r="O175" i="47"/>
  <c r="O234" i="47"/>
  <c r="O247" i="47"/>
  <c r="O256" i="47"/>
  <c r="O265" i="47"/>
  <c r="O292" i="47"/>
  <c r="O296" i="47"/>
  <c r="O302" i="47"/>
  <c r="O184" i="47"/>
  <c r="O202" i="47"/>
  <c r="O297" i="47"/>
  <c r="O303" i="47"/>
  <c r="O188" i="47"/>
  <c r="O199" i="47"/>
  <c r="O206" i="47"/>
  <c r="O244" i="47"/>
  <c r="O253" i="47"/>
  <c r="O262" i="47"/>
  <c r="O282" i="47"/>
  <c r="O298" i="47"/>
  <c r="O304" i="47"/>
  <c r="O310" i="47"/>
  <c r="O276" i="46"/>
  <c r="P200" i="46"/>
  <c r="P212" i="46"/>
  <c r="O169" i="46"/>
  <c r="O174" i="46"/>
  <c r="O115" i="46"/>
  <c r="O135" i="46"/>
  <c r="O144" i="46"/>
  <c r="O161" i="46"/>
  <c r="O165" i="46"/>
  <c r="O121" i="46"/>
  <c r="O132" i="46"/>
  <c r="O141" i="46"/>
  <c r="O151" i="46"/>
  <c r="O158" i="46"/>
  <c r="O164" i="46"/>
  <c r="O173" i="46"/>
  <c r="O176" i="46"/>
  <c r="O110" i="46"/>
  <c r="O118" i="46"/>
  <c r="O138" i="46"/>
  <c r="O147" i="46"/>
  <c r="O186" i="46"/>
  <c r="O191" i="46"/>
  <c r="O195" i="46"/>
  <c r="O199" i="46"/>
  <c r="O203" i="46"/>
  <c r="O207" i="46"/>
  <c r="O217" i="46"/>
  <c r="O223" i="46"/>
  <c r="O229" i="46"/>
  <c r="O234" i="46"/>
  <c r="O241" i="46"/>
  <c r="O259" i="46"/>
  <c r="P259" i="46" s="1"/>
  <c r="R259" i="46" s="1"/>
  <c r="O266" i="46"/>
  <c r="O270" i="46"/>
  <c r="O277" i="46"/>
  <c r="O281" i="46"/>
  <c r="O290" i="46"/>
  <c r="O298" i="46"/>
  <c r="O304" i="46"/>
  <c r="O310" i="46"/>
  <c r="O314" i="46"/>
  <c r="O326" i="46"/>
  <c r="P326" i="46" s="1"/>
  <c r="O329" i="46"/>
  <c r="P329" i="46" s="1"/>
  <c r="O179" i="46"/>
  <c r="O245" i="46"/>
  <c r="O263" i="46"/>
  <c r="O267" i="46"/>
  <c r="O271" i="46"/>
  <c r="O274" i="46"/>
  <c r="O282" i="46"/>
  <c r="O286" i="46"/>
  <c r="O291" i="46"/>
  <c r="O318" i="46"/>
  <c r="O192" i="46"/>
  <c r="O204" i="46"/>
  <c r="O213" i="46"/>
  <c r="O219" i="46"/>
  <c r="O225" i="46"/>
  <c r="P231" i="46"/>
  <c r="O235" i="46"/>
  <c r="O253" i="46"/>
  <c r="P253" i="46" s="1"/>
  <c r="R253" i="46" s="1"/>
  <c r="O300" i="46"/>
  <c r="O306" i="46"/>
  <c r="O327" i="46"/>
  <c r="P327" i="46" s="1"/>
  <c r="O184" i="46"/>
  <c r="O193" i="46"/>
  <c r="O205" i="46"/>
  <c r="O214" i="46"/>
  <c r="O220" i="46"/>
  <c r="O226" i="46"/>
  <c r="O232" i="46"/>
  <c r="O250" i="46"/>
  <c r="P250" i="46" s="1"/>
  <c r="R250" i="46" s="1"/>
  <c r="O257" i="46"/>
  <c r="O268" i="46"/>
  <c r="O279" i="46"/>
  <c r="O288" i="46"/>
  <c r="O292" i="46"/>
  <c r="O301" i="46"/>
  <c r="O307" i="46"/>
  <c r="O312" i="46"/>
  <c r="O181" i="46"/>
  <c r="O185" i="46"/>
  <c r="O194" i="46"/>
  <c r="O198" i="46"/>
  <c r="O201" i="46"/>
  <c r="O206" i="46"/>
  <c r="O233" i="46"/>
  <c r="O269" i="46"/>
  <c r="O328" i="46"/>
  <c r="P328" i="46" s="1"/>
  <c r="D25" i="45"/>
  <c r="D8" i="45"/>
  <c r="C3" i="41"/>
  <c r="I8" i="43"/>
  <c r="O8" i="43" s="1"/>
  <c r="C3" i="39"/>
  <c r="K240" i="43"/>
  <c r="B31" i="41"/>
  <c r="B32" i="41"/>
  <c r="B33" i="41"/>
  <c r="C3" i="44"/>
  <c r="B351" i="44"/>
  <c r="B336" i="44"/>
  <c r="B335" i="44"/>
  <c r="B334" i="44"/>
  <c r="B333" i="44"/>
  <c r="B332" i="44"/>
  <c r="B331" i="44"/>
  <c r="B330" i="44"/>
  <c r="B329" i="44"/>
  <c r="B328" i="44"/>
  <c r="B327" i="44"/>
  <c r="B326" i="44"/>
  <c r="B325" i="44"/>
  <c r="B324" i="44"/>
  <c r="B323" i="44"/>
  <c r="B322" i="44"/>
  <c r="B321" i="44"/>
  <c r="B320" i="44"/>
  <c r="B319" i="44"/>
  <c r="B318" i="44"/>
  <c r="B317" i="44"/>
  <c r="B316" i="44"/>
  <c r="B315" i="44"/>
  <c r="B314" i="44"/>
  <c r="B313" i="44"/>
  <c r="B312" i="44"/>
  <c r="B311" i="44"/>
  <c r="B310" i="44"/>
  <c r="B309" i="44"/>
  <c r="B308" i="44"/>
  <c r="B307" i="44"/>
  <c r="B306" i="44"/>
  <c r="B305" i="44"/>
  <c r="B304" i="44"/>
  <c r="B303" i="44"/>
  <c r="B302" i="44"/>
  <c r="B301" i="44"/>
  <c r="B300" i="44"/>
  <c r="B299" i="44"/>
  <c r="B298" i="44"/>
  <c r="B297" i="44"/>
  <c r="B296" i="44"/>
  <c r="B295" i="44"/>
  <c r="B294" i="44"/>
  <c r="B293" i="44"/>
  <c r="B292" i="44"/>
  <c r="B291" i="44"/>
  <c r="B290" i="44"/>
  <c r="B289" i="44"/>
  <c r="B288" i="44"/>
  <c r="B287" i="44"/>
  <c r="B286" i="44"/>
  <c r="B285" i="44"/>
  <c r="B284" i="44"/>
  <c r="B283" i="44"/>
  <c r="B282" i="44"/>
  <c r="B281" i="44"/>
  <c r="B280" i="44"/>
  <c r="B279" i="44"/>
  <c r="B278" i="44"/>
  <c r="B277" i="44"/>
  <c r="B276" i="44"/>
  <c r="B275" i="44"/>
  <c r="B274" i="44"/>
  <c r="B273" i="44"/>
  <c r="B272" i="44"/>
  <c r="B271" i="44"/>
  <c r="B270" i="44"/>
  <c r="B269" i="44"/>
  <c r="B268" i="44"/>
  <c r="B267" i="44"/>
  <c r="B266" i="44"/>
  <c r="B265" i="44"/>
  <c r="B264" i="44"/>
  <c r="B263" i="44"/>
  <c r="B262" i="44"/>
  <c r="B261" i="44"/>
  <c r="B260" i="44"/>
  <c r="B259" i="44"/>
  <c r="B258" i="44"/>
  <c r="B257" i="44"/>
  <c r="B256" i="44"/>
  <c r="B255" i="44"/>
  <c r="B254" i="44"/>
  <c r="B253" i="44"/>
  <c r="B252" i="44"/>
  <c r="B251" i="44"/>
  <c r="B250" i="44"/>
  <c r="B249" i="44"/>
  <c r="B248" i="44"/>
  <c r="B247" i="44"/>
  <c r="B246" i="44"/>
  <c r="B245" i="44"/>
  <c r="B244" i="44"/>
  <c r="B243" i="44"/>
  <c r="B242" i="44"/>
  <c r="B241" i="44"/>
  <c r="B240" i="44"/>
  <c r="B239" i="44"/>
  <c r="B238" i="44"/>
  <c r="B237" i="44"/>
  <c r="B236" i="44"/>
  <c r="B235" i="44"/>
  <c r="B234" i="44"/>
  <c r="B233" i="44"/>
  <c r="B232" i="44"/>
  <c r="B231" i="44"/>
  <c r="B230" i="44"/>
  <c r="B229" i="44"/>
  <c r="B228" i="44"/>
  <c r="B227" i="44"/>
  <c r="B226" i="44"/>
  <c r="B225" i="44"/>
  <c r="B224" i="44"/>
  <c r="B223" i="44"/>
  <c r="B222" i="44"/>
  <c r="B221" i="44"/>
  <c r="B220" i="44"/>
  <c r="B219" i="44"/>
  <c r="B218" i="44"/>
  <c r="B217" i="44"/>
  <c r="B216" i="44"/>
  <c r="B215" i="44"/>
  <c r="B214" i="44"/>
  <c r="B213" i="44"/>
  <c r="B212" i="44"/>
  <c r="B211" i="44"/>
  <c r="B210" i="44"/>
  <c r="B209" i="44"/>
  <c r="B208" i="44"/>
  <c r="B207" i="44"/>
  <c r="B206" i="44"/>
  <c r="B205" i="44"/>
  <c r="B204" i="44"/>
  <c r="B203" i="44"/>
  <c r="B202" i="44"/>
  <c r="B201" i="44"/>
  <c r="B200" i="44"/>
  <c r="B199" i="44"/>
  <c r="B198" i="44"/>
  <c r="B197" i="44"/>
  <c r="B196" i="44"/>
  <c r="B195" i="44"/>
  <c r="B194" i="44"/>
  <c r="B193" i="44"/>
  <c r="B192" i="44"/>
  <c r="B191" i="44"/>
  <c r="B190" i="44"/>
  <c r="B189" i="44"/>
  <c r="B188" i="44"/>
  <c r="B187" i="44"/>
  <c r="B186" i="44"/>
  <c r="B185" i="44"/>
  <c r="B184" i="44"/>
  <c r="B183" i="44"/>
  <c r="B182" i="44"/>
  <c r="B181" i="44"/>
  <c r="B180" i="44"/>
  <c r="B179" i="44"/>
  <c r="B178" i="44"/>
  <c r="B177" i="44"/>
  <c r="B176" i="44"/>
  <c r="B175" i="44"/>
  <c r="B174" i="44"/>
  <c r="B173" i="44"/>
  <c r="B172" i="44"/>
  <c r="B171" i="44"/>
  <c r="B170" i="44"/>
  <c r="B169" i="44"/>
  <c r="B168" i="44"/>
  <c r="B167" i="44"/>
  <c r="B166" i="44"/>
  <c r="B165" i="44"/>
  <c r="B164" i="44"/>
  <c r="B163" i="44"/>
  <c r="B162" i="44"/>
  <c r="B161" i="44"/>
  <c r="B160" i="44"/>
  <c r="B159" i="44"/>
  <c r="B158" i="44"/>
  <c r="B157" i="44"/>
  <c r="B156" i="44"/>
  <c r="B155" i="44"/>
  <c r="B154" i="44"/>
  <c r="B153" i="44"/>
  <c r="B152" i="44"/>
  <c r="B151" i="44"/>
  <c r="B150" i="44"/>
  <c r="B149" i="44"/>
  <c r="B148" i="44"/>
  <c r="B147" i="44"/>
  <c r="B146" i="44"/>
  <c r="B145" i="44"/>
  <c r="B144" i="44"/>
  <c r="B143" i="44"/>
  <c r="B142" i="44"/>
  <c r="B141" i="44"/>
  <c r="B140" i="44"/>
  <c r="B139" i="44"/>
  <c r="B138" i="44"/>
  <c r="B137" i="44"/>
  <c r="B136" i="44"/>
  <c r="B135" i="44"/>
  <c r="B134" i="44"/>
  <c r="B133" i="44"/>
  <c r="B132" i="44"/>
  <c r="B131" i="44"/>
  <c r="B130" i="44"/>
  <c r="B129" i="44"/>
  <c r="B128" i="44"/>
  <c r="B127" i="44"/>
  <c r="B126" i="44"/>
  <c r="B125" i="44"/>
  <c r="B124" i="44"/>
  <c r="B123" i="44"/>
  <c r="B122" i="44"/>
  <c r="B121" i="44"/>
  <c r="B120" i="44"/>
  <c r="B119" i="44"/>
  <c r="B118" i="44"/>
  <c r="B117" i="44"/>
  <c r="B116" i="44"/>
  <c r="B115" i="44"/>
  <c r="B114" i="44"/>
  <c r="B113" i="44"/>
  <c r="B112" i="44"/>
  <c r="B111" i="44"/>
  <c r="B110" i="44"/>
  <c r="B109" i="44"/>
  <c r="B108" i="44"/>
  <c r="B107" i="44"/>
  <c r="B106" i="44"/>
  <c r="B105" i="44"/>
  <c r="B104" i="44"/>
  <c r="B103" i="44"/>
  <c r="B102" i="44"/>
  <c r="B101" i="44"/>
  <c r="B100" i="44"/>
  <c r="B99" i="44"/>
  <c r="B98" i="44"/>
  <c r="B97" i="44"/>
  <c r="B96" i="44"/>
  <c r="B95" i="44"/>
  <c r="B94" i="44"/>
  <c r="B93" i="44"/>
  <c r="B92" i="44"/>
  <c r="B91" i="44"/>
  <c r="B90" i="44"/>
  <c r="B89" i="44"/>
  <c r="B88" i="44"/>
  <c r="B87" i="44"/>
  <c r="B86" i="44"/>
  <c r="B85" i="44"/>
  <c r="B84" i="44"/>
  <c r="B83" i="44"/>
  <c r="B82" i="44"/>
  <c r="B81" i="44"/>
  <c r="B80" i="44"/>
  <c r="B79" i="44"/>
  <c r="B78" i="44"/>
  <c r="B77" i="44"/>
  <c r="B76" i="44"/>
  <c r="B75" i="44"/>
  <c r="B74" i="44"/>
  <c r="B73" i="44"/>
  <c r="B72" i="44"/>
  <c r="B71" i="44"/>
  <c r="B70" i="44"/>
  <c r="B69" i="44"/>
  <c r="B68" i="44"/>
  <c r="B67" i="44"/>
  <c r="B66" i="44"/>
  <c r="B65" i="44"/>
  <c r="B64" i="44"/>
  <c r="B63" i="44"/>
  <c r="B62" i="44"/>
  <c r="B61" i="44"/>
  <c r="B60" i="44"/>
  <c r="B59" i="44"/>
  <c r="B58" i="44"/>
  <c r="B57" i="44"/>
  <c r="B56" i="44"/>
  <c r="B55" i="44"/>
  <c r="B54" i="44"/>
  <c r="B53" i="44"/>
  <c r="B52" i="44"/>
  <c r="B51" i="44"/>
  <c r="B50" i="44"/>
  <c r="B49" i="44"/>
  <c r="B48" i="44"/>
  <c r="B47" i="44"/>
  <c r="B46" i="44"/>
  <c r="B45" i="44"/>
  <c r="B44" i="44"/>
  <c r="B43" i="44"/>
  <c r="B42" i="44"/>
  <c r="B41" i="44"/>
  <c r="B40" i="44"/>
  <c r="B39" i="44"/>
  <c r="B38" i="44"/>
  <c r="B37" i="44"/>
  <c r="B36" i="44"/>
  <c r="B35" i="44"/>
  <c r="B34" i="44"/>
  <c r="B33" i="44"/>
  <c r="B32" i="44"/>
  <c r="B31" i="44"/>
  <c r="B30" i="44"/>
  <c r="B29" i="44"/>
  <c r="B28" i="44"/>
  <c r="B27" i="44"/>
  <c r="B17" i="44"/>
  <c r="B16" i="44"/>
  <c r="B15" i="44"/>
  <c r="B14" i="44"/>
  <c r="B13" i="44"/>
  <c r="B12" i="44"/>
  <c r="B11" i="44"/>
  <c r="B10" i="44"/>
  <c r="B9" i="44"/>
  <c r="D8" i="44"/>
  <c r="B8" i="44"/>
  <c r="B7" i="44"/>
  <c r="B6" i="44"/>
  <c r="B5" i="44"/>
  <c r="B4" i="44"/>
  <c r="B3" i="44"/>
  <c r="B2" i="44"/>
  <c r="J262" i="43"/>
  <c r="K29" i="43"/>
  <c r="K30" i="43"/>
  <c r="K31" i="43"/>
  <c r="K32" i="43"/>
  <c r="K33" i="43"/>
  <c r="K34" i="43"/>
  <c r="K35" i="43"/>
  <c r="K36" i="43"/>
  <c r="K37" i="43"/>
  <c r="K38" i="43"/>
  <c r="K39" i="43"/>
  <c r="K40" i="43"/>
  <c r="K41" i="43"/>
  <c r="K42" i="43"/>
  <c r="K43" i="43"/>
  <c r="K44" i="43"/>
  <c r="K46" i="43"/>
  <c r="K47" i="43"/>
  <c r="K49" i="43"/>
  <c r="K50" i="43"/>
  <c r="K51" i="43"/>
  <c r="K53" i="43"/>
  <c r="K54" i="43"/>
  <c r="K55" i="43"/>
  <c r="K56" i="43"/>
  <c r="K58" i="43"/>
  <c r="K59" i="43"/>
  <c r="K61" i="43"/>
  <c r="K62" i="43"/>
  <c r="K63" i="43"/>
  <c r="K64" i="43"/>
  <c r="K65" i="43"/>
  <c r="K66" i="43"/>
  <c r="K67" i="43"/>
  <c r="K68" i="43"/>
  <c r="K69" i="43"/>
  <c r="K71" i="43"/>
  <c r="K72" i="43"/>
  <c r="K73" i="43"/>
  <c r="K74" i="43"/>
  <c r="K75" i="43"/>
  <c r="K76" i="43"/>
  <c r="K77" i="43"/>
  <c r="K78" i="43"/>
  <c r="K79" i="43"/>
  <c r="K80" i="43"/>
  <c r="K81" i="43"/>
  <c r="K84" i="43"/>
  <c r="K87" i="43"/>
  <c r="K89" i="43"/>
  <c r="K90" i="43"/>
  <c r="K91" i="43"/>
  <c r="K92" i="43"/>
  <c r="K93" i="43"/>
  <c r="K94" i="43"/>
  <c r="K95" i="43"/>
  <c r="K96" i="43"/>
  <c r="K98" i="43"/>
  <c r="K99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2" i="43"/>
  <c r="K133" i="43"/>
  <c r="K134" i="43"/>
  <c r="K135" i="43"/>
  <c r="K136" i="43"/>
  <c r="K137" i="43"/>
  <c r="K138" i="43"/>
  <c r="K139" i="43"/>
  <c r="K140" i="43"/>
  <c r="K141" i="43"/>
  <c r="K143" i="43"/>
  <c r="K144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5" i="43"/>
  <c r="K166" i="43"/>
  <c r="K168" i="43"/>
  <c r="K169" i="43"/>
  <c r="K170" i="43"/>
  <c r="K171" i="43"/>
  <c r="K172" i="43"/>
  <c r="K173" i="43"/>
  <c r="K174" i="43"/>
  <c r="K175" i="43"/>
  <c r="K176" i="43"/>
  <c r="K177" i="43"/>
  <c r="K178" i="43"/>
  <c r="K180" i="43"/>
  <c r="K181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8" i="43"/>
  <c r="K199" i="43"/>
  <c r="K201" i="43"/>
  <c r="K202" i="43"/>
  <c r="K203" i="43"/>
  <c r="K204" i="43"/>
  <c r="K205" i="43"/>
  <c r="K206" i="43"/>
  <c r="K207" i="43"/>
  <c r="K208" i="43"/>
  <c r="K210" i="43"/>
  <c r="K211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9" i="43"/>
  <c r="K230" i="43"/>
  <c r="K232" i="43"/>
  <c r="K241" i="43"/>
  <c r="K242" i="43"/>
  <c r="K243" i="43"/>
  <c r="K244" i="43"/>
  <c r="K246" i="43"/>
  <c r="K247" i="43"/>
  <c r="K249" i="43"/>
  <c r="K250" i="43"/>
  <c r="K251" i="43"/>
  <c r="K252" i="43"/>
  <c r="K253" i="43"/>
  <c r="K254" i="43"/>
  <c r="K255" i="43"/>
  <c r="K256" i="43"/>
  <c r="K257" i="43"/>
  <c r="K259" i="43"/>
  <c r="K260" i="43"/>
  <c r="K262" i="43"/>
  <c r="K263" i="43"/>
  <c r="K264" i="43"/>
  <c r="K265" i="43"/>
  <c r="K266" i="43"/>
  <c r="K267" i="43"/>
  <c r="K268" i="43"/>
  <c r="K269" i="43"/>
  <c r="K271" i="43"/>
  <c r="K272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2" i="43"/>
  <c r="K293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3" i="43"/>
  <c r="K314" i="43"/>
  <c r="K316" i="43"/>
  <c r="K317" i="43"/>
  <c r="K318" i="43"/>
  <c r="K320" i="43"/>
  <c r="K321" i="43"/>
  <c r="K323" i="43"/>
  <c r="K324" i="43"/>
  <c r="K325" i="43"/>
  <c r="K326" i="43"/>
  <c r="K337" i="43"/>
  <c r="O337" i="43" s="1"/>
  <c r="K338" i="43"/>
  <c r="O338" i="43" s="1"/>
  <c r="K341" i="43"/>
  <c r="O341" i="43" s="1"/>
  <c r="K342" i="43"/>
  <c r="O342" i="43" s="1"/>
  <c r="K345" i="43"/>
  <c r="O345" i="43" s="1"/>
  <c r="K346" i="43"/>
  <c r="O346" i="43" s="1"/>
  <c r="K347" i="43"/>
  <c r="K348" i="43"/>
  <c r="J29" i="43"/>
  <c r="J30" i="43"/>
  <c r="J31" i="43"/>
  <c r="J32" i="43"/>
  <c r="J33" i="43"/>
  <c r="J34" i="43"/>
  <c r="J36" i="43"/>
  <c r="J37" i="43"/>
  <c r="J38" i="43"/>
  <c r="J39" i="43"/>
  <c r="J40" i="43"/>
  <c r="J41" i="43"/>
  <c r="J42" i="43"/>
  <c r="J43" i="43"/>
  <c r="J44" i="43"/>
  <c r="J45" i="43"/>
  <c r="J46" i="43"/>
  <c r="J47" i="43"/>
  <c r="J49" i="43"/>
  <c r="J50" i="43"/>
  <c r="J51" i="43"/>
  <c r="J53" i="43"/>
  <c r="J54" i="43"/>
  <c r="J55" i="43"/>
  <c r="J56" i="43"/>
  <c r="J57" i="43"/>
  <c r="J58" i="43"/>
  <c r="J59" i="43"/>
  <c r="J61" i="43"/>
  <c r="J62" i="43"/>
  <c r="J63" i="43"/>
  <c r="J64" i="43"/>
  <c r="J65" i="43"/>
  <c r="J66" i="43"/>
  <c r="J67" i="43"/>
  <c r="J68" i="43"/>
  <c r="J69" i="43"/>
  <c r="J71" i="43"/>
  <c r="J72" i="43"/>
  <c r="J73" i="43"/>
  <c r="J74" i="43"/>
  <c r="J75" i="43"/>
  <c r="J76" i="43"/>
  <c r="J77" i="43"/>
  <c r="J78" i="43"/>
  <c r="J79" i="43"/>
  <c r="J80" i="43"/>
  <c r="J81" i="43"/>
  <c r="J82" i="43"/>
  <c r="J83" i="43"/>
  <c r="J84" i="43"/>
  <c r="J87" i="43"/>
  <c r="J89" i="43"/>
  <c r="J90" i="43"/>
  <c r="J91" i="43"/>
  <c r="J92" i="43"/>
  <c r="J93" i="43"/>
  <c r="J94" i="43"/>
  <c r="J95" i="43"/>
  <c r="J96" i="43"/>
  <c r="J97" i="43"/>
  <c r="J98" i="43"/>
  <c r="J99" i="43"/>
  <c r="J101" i="43"/>
  <c r="J102" i="43"/>
  <c r="J103" i="43"/>
  <c r="J104" i="43"/>
  <c r="J105" i="43"/>
  <c r="J106" i="43"/>
  <c r="J107" i="43"/>
  <c r="J108" i="43"/>
  <c r="J109" i="43"/>
  <c r="J110" i="43"/>
  <c r="J111" i="43"/>
  <c r="J112" i="43"/>
  <c r="J113" i="43"/>
  <c r="J114" i="43"/>
  <c r="J115" i="43"/>
  <c r="J116" i="43"/>
  <c r="J117" i="43"/>
  <c r="J118" i="43"/>
  <c r="J119" i="43"/>
  <c r="J120" i="43"/>
  <c r="J121" i="43"/>
  <c r="J122" i="43"/>
  <c r="J123" i="43"/>
  <c r="J124" i="43"/>
  <c r="J125" i="43"/>
  <c r="J126" i="43"/>
  <c r="J127" i="43"/>
  <c r="J128" i="43"/>
  <c r="J129" i="43"/>
  <c r="J130" i="43"/>
  <c r="J132" i="43"/>
  <c r="J133" i="43"/>
  <c r="J134" i="43"/>
  <c r="J135" i="43"/>
  <c r="J136" i="43"/>
  <c r="J137" i="43"/>
  <c r="J138" i="43"/>
  <c r="J139" i="43"/>
  <c r="J140" i="43"/>
  <c r="J141" i="43"/>
  <c r="J142" i="43"/>
  <c r="J143" i="43"/>
  <c r="J144" i="43"/>
  <c r="J146" i="43"/>
  <c r="J147" i="43"/>
  <c r="J148" i="43"/>
  <c r="J149" i="43"/>
  <c r="J150" i="43"/>
  <c r="J151" i="43"/>
  <c r="J152" i="43"/>
  <c r="J153" i="43"/>
  <c r="J154" i="43"/>
  <c r="J155" i="43"/>
  <c r="J156" i="43"/>
  <c r="J157" i="43"/>
  <c r="J158" i="43"/>
  <c r="J159" i="43"/>
  <c r="J160" i="43"/>
  <c r="J161" i="43"/>
  <c r="J162" i="43"/>
  <c r="J163" i="43"/>
  <c r="J164" i="43"/>
  <c r="J165" i="43"/>
  <c r="J166" i="43"/>
  <c r="J168" i="43"/>
  <c r="J169" i="43"/>
  <c r="J170" i="43"/>
  <c r="J171" i="43"/>
  <c r="J172" i="43"/>
  <c r="J173" i="43"/>
  <c r="J174" i="43"/>
  <c r="J175" i="43"/>
  <c r="J176" i="43"/>
  <c r="J177" i="43"/>
  <c r="J178" i="43"/>
  <c r="J179" i="43"/>
  <c r="J180" i="43"/>
  <c r="J181" i="43"/>
  <c r="J183" i="43"/>
  <c r="J184" i="43"/>
  <c r="J185" i="43"/>
  <c r="J186" i="43"/>
  <c r="J187" i="43"/>
  <c r="J188" i="43"/>
  <c r="J189" i="43"/>
  <c r="J190" i="43"/>
  <c r="J191" i="43"/>
  <c r="J192" i="43"/>
  <c r="J193" i="43"/>
  <c r="J194" i="43"/>
  <c r="J195" i="43"/>
  <c r="J196" i="43"/>
  <c r="J197" i="43"/>
  <c r="J198" i="43"/>
  <c r="J199" i="43"/>
  <c r="J201" i="43"/>
  <c r="J202" i="43"/>
  <c r="J203" i="43"/>
  <c r="J204" i="43"/>
  <c r="J205" i="43"/>
  <c r="J206" i="43"/>
  <c r="J207" i="43"/>
  <c r="J208" i="43"/>
  <c r="J209" i="43"/>
  <c r="J210" i="43"/>
  <c r="J211" i="43"/>
  <c r="J213" i="43"/>
  <c r="J214" i="43"/>
  <c r="J215" i="43"/>
  <c r="J216" i="43"/>
  <c r="J217" i="43"/>
  <c r="J218" i="43"/>
  <c r="J219" i="43"/>
  <c r="J220" i="43"/>
  <c r="J221" i="43"/>
  <c r="J222" i="43"/>
  <c r="J223" i="43"/>
  <c r="J224" i="43"/>
  <c r="J225" i="43"/>
  <c r="J226" i="43"/>
  <c r="J227" i="43"/>
  <c r="J228" i="43"/>
  <c r="J229" i="43"/>
  <c r="J230" i="43"/>
  <c r="J232" i="43"/>
  <c r="J233" i="43"/>
  <c r="J234" i="43"/>
  <c r="J235" i="43"/>
  <c r="J240" i="43"/>
  <c r="J241" i="43"/>
  <c r="J242" i="43"/>
  <c r="J243" i="43"/>
  <c r="J244" i="43"/>
  <c r="J245" i="43"/>
  <c r="J246" i="43"/>
  <c r="J247" i="43"/>
  <c r="J248" i="43"/>
  <c r="J249" i="43"/>
  <c r="J250" i="43"/>
  <c r="J251" i="43"/>
  <c r="J252" i="43"/>
  <c r="J253" i="43"/>
  <c r="J254" i="43"/>
  <c r="J255" i="43"/>
  <c r="J256" i="43"/>
  <c r="J257" i="43"/>
  <c r="J258" i="43"/>
  <c r="J259" i="43"/>
  <c r="J260" i="43"/>
  <c r="J263" i="43"/>
  <c r="J264" i="43"/>
  <c r="J265" i="43"/>
  <c r="J266" i="43"/>
  <c r="J267" i="43"/>
  <c r="J268" i="43"/>
  <c r="J269" i="43"/>
  <c r="J270" i="43"/>
  <c r="J271" i="43"/>
  <c r="J272" i="43"/>
  <c r="J274" i="43"/>
  <c r="J275" i="43"/>
  <c r="J276" i="43"/>
  <c r="J277" i="43"/>
  <c r="J278" i="43"/>
  <c r="J279" i="43"/>
  <c r="J280" i="43"/>
  <c r="J281" i="43"/>
  <c r="J282" i="43"/>
  <c r="J283" i="43"/>
  <c r="J284" i="43"/>
  <c r="J285" i="43"/>
  <c r="J286" i="43"/>
  <c r="J287" i="43"/>
  <c r="J288" i="43"/>
  <c r="J289" i="43"/>
  <c r="J290" i="43"/>
  <c r="J291" i="43"/>
  <c r="J292" i="43"/>
  <c r="J293" i="43"/>
  <c r="J295" i="43"/>
  <c r="J296" i="43"/>
  <c r="J297" i="43"/>
  <c r="J298" i="43"/>
  <c r="J299" i="43"/>
  <c r="J300" i="43"/>
  <c r="J301" i="43"/>
  <c r="J302" i="43"/>
  <c r="J303" i="43"/>
  <c r="J304" i="43"/>
  <c r="J305" i="43"/>
  <c r="J306" i="43"/>
  <c r="J307" i="43"/>
  <c r="J308" i="43"/>
  <c r="J309" i="43"/>
  <c r="J310" i="43"/>
  <c r="J311" i="43"/>
  <c r="J312" i="43"/>
  <c r="J313" i="43"/>
  <c r="J314" i="43"/>
  <c r="J316" i="43"/>
  <c r="J317" i="43"/>
  <c r="J318" i="43"/>
  <c r="J319" i="43"/>
  <c r="J320" i="43"/>
  <c r="J321" i="43"/>
  <c r="J323" i="43"/>
  <c r="J324" i="43"/>
  <c r="J325" i="43"/>
  <c r="J326" i="43"/>
  <c r="J327" i="43"/>
  <c r="J328" i="43"/>
  <c r="J329" i="43"/>
  <c r="J337" i="43"/>
  <c r="J338" i="43"/>
  <c r="J339" i="43"/>
  <c r="J342" i="43"/>
  <c r="J343" i="43"/>
  <c r="J346" i="43"/>
  <c r="J347" i="43"/>
  <c r="J348" i="43"/>
  <c r="J349" i="43"/>
  <c r="I4" i="43"/>
  <c r="O4" i="43" s="1"/>
  <c r="I5" i="43"/>
  <c r="O5" i="43" s="1"/>
  <c r="I10" i="43"/>
  <c r="O10" i="43" s="1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9" i="43"/>
  <c r="I50" i="43"/>
  <c r="I51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1" i="43"/>
  <c r="I72" i="43"/>
  <c r="I73" i="43"/>
  <c r="I74" i="43"/>
  <c r="I75" i="43"/>
  <c r="I76" i="43"/>
  <c r="I77" i="43"/>
  <c r="I78" i="43"/>
  <c r="I79" i="43"/>
  <c r="I80" i="43"/>
  <c r="I81" i="43"/>
  <c r="I82" i="43"/>
  <c r="I83" i="43"/>
  <c r="I84" i="43"/>
  <c r="I87" i="43"/>
  <c r="I89" i="43"/>
  <c r="I90" i="43"/>
  <c r="I91" i="43"/>
  <c r="I92" i="43"/>
  <c r="I93" i="43"/>
  <c r="I94" i="43"/>
  <c r="I95" i="43"/>
  <c r="I96" i="43"/>
  <c r="I97" i="43"/>
  <c r="I98" i="43"/>
  <c r="I99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1" i="43"/>
  <c r="I202" i="43"/>
  <c r="I203" i="43"/>
  <c r="I204" i="43"/>
  <c r="I205" i="43"/>
  <c r="I206" i="43"/>
  <c r="I207" i="43"/>
  <c r="I208" i="43"/>
  <c r="I209" i="43"/>
  <c r="I210" i="43"/>
  <c r="I211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40" i="43"/>
  <c r="I241" i="43"/>
  <c r="I242" i="43"/>
  <c r="I243" i="43"/>
  <c r="I244" i="43"/>
  <c r="I245" i="43"/>
  <c r="I246" i="43"/>
  <c r="I247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2" i="43"/>
  <c r="I263" i="43"/>
  <c r="I264" i="43"/>
  <c r="I265" i="43"/>
  <c r="I266" i="43"/>
  <c r="I267" i="43"/>
  <c r="I268" i="43"/>
  <c r="I269" i="43"/>
  <c r="I270" i="43"/>
  <c r="I271" i="43"/>
  <c r="I272" i="43"/>
  <c r="I274" i="43"/>
  <c r="I275" i="43"/>
  <c r="I27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6" i="43"/>
  <c r="I317" i="43"/>
  <c r="I318" i="43"/>
  <c r="I319" i="43"/>
  <c r="I320" i="43"/>
  <c r="I321" i="43"/>
  <c r="I323" i="43"/>
  <c r="I324" i="43"/>
  <c r="I325" i="43"/>
  <c r="I326" i="43"/>
  <c r="I327" i="43"/>
  <c r="I328" i="43"/>
  <c r="I329" i="43"/>
  <c r="I337" i="43"/>
  <c r="I338" i="43"/>
  <c r="I339" i="43"/>
  <c r="I341" i="43"/>
  <c r="I342" i="43"/>
  <c r="I343" i="43"/>
  <c r="I345" i="43"/>
  <c r="I346" i="43"/>
  <c r="I347" i="43"/>
  <c r="I348" i="43"/>
  <c r="I349" i="43"/>
  <c r="O349" i="43"/>
  <c r="O348" i="43"/>
  <c r="O347" i="43"/>
  <c r="T336" i="43"/>
  <c r="B336" i="43"/>
  <c r="B335" i="43"/>
  <c r="B334" i="43"/>
  <c r="B333" i="43"/>
  <c r="B332" i="43"/>
  <c r="B331" i="43"/>
  <c r="B330" i="43"/>
  <c r="B329" i="43"/>
  <c r="B328" i="43"/>
  <c r="B327" i="43"/>
  <c r="B326" i="43"/>
  <c r="B325" i="43"/>
  <c r="B324" i="43"/>
  <c r="B323" i="43"/>
  <c r="B322" i="43"/>
  <c r="B321" i="43"/>
  <c r="B320" i="43"/>
  <c r="B319" i="43"/>
  <c r="B318" i="43"/>
  <c r="B317" i="43"/>
  <c r="B316" i="43"/>
  <c r="B315" i="43"/>
  <c r="B314" i="43"/>
  <c r="B313" i="43"/>
  <c r="B312" i="43"/>
  <c r="B311" i="43"/>
  <c r="B310" i="43"/>
  <c r="B309" i="43"/>
  <c r="B308" i="43"/>
  <c r="B307" i="43"/>
  <c r="B306" i="43"/>
  <c r="B305" i="43"/>
  <c r="B304" i="43"/>
  <c r="B303" i="43"/>
  <c r="B302" i="43"/>
  <c r="B301" i="43"/>
  <c r="B300" i="43"/>
  <c r="B299" i="43"/>
  <c r="B298" i="43"/>
  <c r="B297" i="43"/>
  <c r="B296" i="43"/>
  <c r="B295" i="43"/>
  <c r="B294" i="43"/>
  <c r="B293" i="43"/>
  <c r="B292" i="43"/>
  <c r="B291" i="43"/>
  <c r="B290" i="43"/>
  <c r="B289" i="43"/>
  <c r="B288" i="43"/>
  <c r="B287" i="43"/>
  <c r="B286" i="43"/>
  <c r="B285" i="43"/>
  <c r="B284" i="43"/>
  <c r="B283" i="43"/>
  <c r="B282" i="43"/>
  <c r="B281" i="43"/>
  <c r="B280" i="43"/>
  <c r="B279" i="43"/>
  <c r="B278" i="43"/>
  <c r="B277" i="43"/>
  <c r="B276" i="43"/>
  <c r="B275" i="43"/>
  <c r="B274" i="43"/>
  <c r="B273" i="43"/>
  <c r="R272" i="43"/>
  <c r="B272" i="43"/>
  <c r="B271" i="43"/>
  <c r="B270" i="43"/>
  <c r="B269" i="43"/>
  <c r="B268" i="43"/>
  <c r="B267" i="43"/>
  <c r="B266" i="43"/>
  <c r="B265" i="43"/>
  <c r="B264" i="43"/>
  <c r="B263" i="43"/>
  <c r="B262" i="43"/>
  <c r="B261" i="43"/>
  <c r="B260" i="43"/>
  <c r="B259" i="43"/>
  <c r="B258" i="43"/>
  <c r="B257" i="43"/>
  <c r="B256" i="43"/>
  <c r="B255" i="43"/>
  <c r="B254" i="43"/>
  <c r="B253" i="43"/>
  <c r="B252" i="43"/>
  <c r="B251" i="43"/>
  <c r="B250" i="43"/>
  <c r="B249" i="43"/>
  <c r="B248" i="43"/>
  <c r="B247" i="43"/>
  <c r="B246" i="43"/>
  <c r="B245" i="43"/>
  <c r="B244" i="43"/>
  <c r="B243" i="43"/>
  <c r="B242" i="43"/>
  <c r="B241" i="43"/>
  <c r="B240" i="43"/>
  <c r="B239" i="43"/>
  <c r="B238" i="43"/>
  <c r="B237" i="43"/>
  <c r="B236" i="43"/>
  <c r="B235" i="43"/>
  <c r="B234" i="43"/>
  <c r="B233" i="43"/>
  <c r="B232" i="43"/>
  <c r="P231" i="43"/>
  <c r="B231" i="43"/>
  <c r="B230" i="43"/>
  <c r="B229" i="43"/>
  <c r="B228" i="43"/>
  <c r="B227" i="43"/>
  <c r="B226" i="43"/>
  <c r="B225" i="43"/>
  <c r="B224" i="43"/>
  <c r="B223" i="43"/>
  <c r="B222" i="43"/>
  <c r="B221" i="43"/>
  <c r="B220" i="43"/>
  <c r="B219" i="43"/>
  <c r="B218" i="43"/>
  <c r="B217" i="43"/>
  <c r="B216" i="43"/>
  <c r="B215" i="43"/>
  <c r="B214" i="43"/>
  <c r="B213" i="43"/>
  <c r="P212" i="43"/>
  <c r="B212" i="43"/>
  <c r="B211" i="43"/>
  <c r="B210" i="43"/>
  <c r="B209" i="43"/>
  <c r="B208" i="43"/>
  <c r="B207" i="43"/>
  <c r="B206" i="43"/>
  <c r="B205" i="43"/>
  <c r="B204" i="43"/>
  <c r="B203" i="43"/>
  <c r="B202" i="43"/>
  <c r="B201" i="43"/>
  <c r="P200" i="43"/>
  <c r="R200" i="43" s="1"/>
  <c r="B200" i="43"/>
  <c r="B199" i="43"/>
  <c r="B198" i="43"/>
  <c r="B197" i="43"/>
  <c r="B196" i="43"/>
  <c r="B195" i="43"/>
  <c r="B194" i="43"/>
  <c r="B193" i="43"/>
  <c r="B192" i="43"/>
  <c r="B191" i="43"/>
  <c r="B190" i="43"/>
  <c r="B189" i="43"/>
  <c r="B188" i="43"/>
  <c r="B187" i="43"/>
  <c r="B186" i="43"/>
  <c r="B185" i="43"/>
  <c r="B184" i="43"/>
  <c r="B183" i="43"/>
  <c r="B182" i="43"/>
  <c r="B181" i="43"/>
  <c r="B180" i="43"/>
  <c r="B179" i="43"/>
  <c r="B178" i="43"/>
  <c r="B177" i="43"/>
  <c r="B176" i="43"/>
  <c r="B175" i="43"/>
  <c r="B174" i="43"/>
  <c r="B173" i="43"/>
  <c r="B172" i="43"/>
  <c r="B171" i="43"/>
  <c r="B170" i="43"/>
  <c r="B169" i="43"/>
  <c r="B168" i="43"/>
  <c r="B167" i="43"/>
  <c r="B166" i="43"/>
  <c r="B165" i="43"/>
  <c r="B164" i="43"/>
  <c r="B163" i="43"/>
  <c r="B162" i="43"/>
  <c r="B161" i="43"/>
  <c r="B160" i="43"/>
  <c r="B159" i="43"/>
  <c r="B158" i="43"/>
  <c r="B157" i="43"/>
  <c r="B156" i="43"/>
  <c r="B155" i="43"/>
  <c r="B154" i="43"/>
  <c r="B153" i="43"/>
  <c r="B152" i="43"/>
  <c r="B151" i="43"/>
  <c r="B150" i="43"/>
  <c r="B149" i="43"/>
  <c r="B148" i="43"/>
  <c r="B147" i="43"/>
  <c r="B146" i="43"/>
  <c r="B145" i="43"/>
  <c r="B144" i="43"/>
  <c r="B143" i="43"/>
  <c r="B142" i="43"/>
  <c r="B141" i="43"/>
  <c r="B140" i="43"/>
  <c r="B139" i="43"/>
  <c r="B138" i="43"/>
  <c r="B137" i="43"/>
  <c r="B136" i="43"/>
  <c r="B135" i="43"/>
  <c r="B134" i="43"/>
  <c r="B133" i="43"/>
  <c r="B132" i="43"/>
  <c r="B131" i="43"/>
  <c r="B130" i="43"/>
  <c r="B129" i="43"/>
  <c r="B128" i="43"/>
  <c r="B127" i="43"/>
  <c r="B126" i="43"/>
  <c r="B125" i="43"/>
  <c r="B124" i="43"/>
  <c r="B123" i="43"/>
  <c r="B122" i="43"/>
  <c r="B121" i="43"/>
  <c r="B120" i="43"/>
  <c r="B119" i="43"/>
  <c r="B118" i="43"/>
  <c r="B117" i="43"/>
  <c r="B116" i="43"/>
  <c r="B115" i="43"/>
  <c r="B114" i="43"/>
  <c r="B113" i="43"/>
  <c r="B112" i="43"/>
  <c r="B111" i="43"/>
  <c r="B110" i="43"/>
  <c r="B109" i="43"/>
  <c r="B108" i="43"/>
  <c r="B107" i="43"/>
  <c r="B106" i="43"/>
  <c r="B105" i="43"/>
  <c r="B104" i="43"/>
  <c r="B103" i="43"/>
  <c r="B102" i="43"/>
  <c r="B101" i="43"/>
  <c r="B100" i="43"/>
  <c r="B99" i="43"/>
  <c r="B98" i="43"/>
  <c r="B97" i="43"/>
  <c r="B96" i="43"/>
  <c r="B95" i="43"/>
  <c r="B94" i="43"/>
  <c r="B93" i="43"/>
  <c r="B92" i="43"/>
  <c r="B91" i="43"/>
  <c r="B90" i="43"/>
  <c r="B89" i="43"/>
  <c r="B88" i="43"/>
  <c r="R87" i="43"/>
  <c r="B87" i="43"/>
  <c r="B86" i="43"/>
  <c r="B85" i="43"/>
  <c r="B84" i="43"/>
  <c r="B83" i="43"/>
  <c r="B82" i="43"/>
  <c r="B81" i="43"/>
  <c r="B80" i="43"/>
  <c r="B79" i="43"/>
  <c r="B78" i="43"/>
  <c r="B77" i="43"/>
  <c r="B76" i="43"/>
  <c r="B75" i="43"/>
  <c r="B74" i="43"/>
  <c r="B73" i="43"/>
  <c r="B72" i="43"/>
  <c r="B71" i="43"/>
  <c r="P70" i="43"/>
  <c r="R70" i="43" s="1"/>
  <c r="B70" i="43"/>
  <c r="B69" i="43"/>
  <c r="B68" i="43"/>
  <c r="B67" i="43"/>
  <c r="B66" i="43"/>
  <c r="B65" i="43"/>
  <c r="B64" i="43"/>
  <c r="B63" i="43"/>
  <c r="B62" i="43"/>
  <c r="B61" i="43"/>
  <c r="P60" i="43"/>
  <c r="R60" i="43" s="1"/>
  <c r="B60" i="43"/>
  <c r="B59" i="43"/>
  <c r="B58" i="43"/>
  <c r="B57" i="43"/>
  <c r="B56" i="43"/>
  <c r="B55" i="43"/>
  <c r="B54" i="43"/>
  <c r="B53" i="43"/>
  <c r="B52" i="43"/>
  <c r="B51" i="43"/>
  <c r="B50" i="43"/>
  <c r="B49" i="43"/>
  <c r="B48" i="43"/>
  <c r="B47" i="43"/>
  <c r="B46" i="43"/>
  <c r="B45" i="43"/>
  <c r="B44" i="43"/>
  <c r="B43" i="43"/>
  <c r="B42" i="43"/>
  <c r="B41" i="43"/>
  <c r="B40" i="43"/>
  <c r="B39" i="43"/>
  <c r="B38" i="43"/>
  <c r="B37" i="43"/>
  <c r="B36" i="43"/>
  <c r="B35" i="43"/>
  <c r="B34" i="43"/>
  <c r="B33" i="43"/>
  <c r="B32" i="43"/>
  <c r="B31" i="43"/>
  <c r="B30" i="43"/>
  <c r="B29" i="43"/>
  <c r="B28" i="43"/>
  <c r="B27" i="43"/>
  <c r="B16" i="43"/>
  <c r="B15" i="43"/>
  <c r="B14" i="43"/>
  <c r="B13" i="43"/>
  <c r="B12" i="43"/>
  <c r="B11" i="43"/>
  <c r="B10" i="43"/>
  <c r="B9" i="43"/>
  <c r="B8" i="43"/>
  <c r="B7" i="43"/>
  <c r="B6" i="43"/>
  <c r="B5" i="43"/>
  <c r="B4" i="43"/>
  <c r="B3" i="43"/>
  <c r="B2" i="43"/>
  <c r="I261" i="43"/>
  <c r="H29" i="42"/>
  <c r="H30" i="42"/>
  <c r="H31" i="42"/>
  <c r="H32" i="42"/>
  <c r="H33" i="42"/>
  <c r="H34" i="42"/>
  <c r="H35" i="42"/>
  <c r="H37" i="42"/>
  <c r="H38" i="42"/>
  <c r="H39" i="42"/>
  <c r="H40" i="42"/>
  <c r="H41" i="42"/>
  <c r="H42" i="42"/>
  <c r="H43" i="42"/>
  <c r="H44" i="42"/>
  <c r="H45" i="42"/>
  <c r="H46" i="42"/>
  <c r="H47" i="42"/>
  <c r="H49" i="42"/>
  <c r="H50" i="42"/>
  <c r="H51" i="42"/>
  <c r="H53" i="42"/>
  <c r="H54" i="42"/>
  <c r="H55" i="42"/>
  <c r="H56" i="42"/>
  <c r="H57" i="42"/>
  <c r="H58" i="42"/>
  <c r="H59" i="42"/>
  <c r="H61" i="42"/>
  <c r="H62" i="42"/>
  <c r="H63" i="42"/>
  <c r="H64" i="42"/>
  <c r="H65" i="42"/>
  <c r="H66" i="42"/>
  <c r="H67" i="42"/>
  <c r="H68" i="42"/>
  <c r="H69" i="42"/>
  <c r="H71" i="42"/>
  <c r="H72" i="42"/>
  <c r="H73" i="42"/>
  <c r="H74" i="42"/>
  <c r="H75" i="42"/>
  <c r="H76" i="42"/>
  <c r="H77" i="42"/>
  <c r="H78" i="42"/>
  <c r="H79" i="42"/>
  <c r="H80" i="42"/>
  <c r="H81" i="42"/>
  <c r="H82" i="42"/>
  <c r="H83" i="42"/>
  <c r="H84" i="42"/>
  <c r="H87" i="42"/>
  <c r="H89" i="42"/>
  <c r="H90" i="42"/>
  <c r="H91" i="42"/>
  <c r="H92" i="42"/>
  <c r="H93" i="42"/>
  <c r="H94" i="42"/>
  <c r="H96" i="42"/>
  <c r="H97" i="42"/>
  <c r="H98" i="42"/>
  <c r="H99" i="42"/>
  <c r="H101" i="42"/>
  <c r="H102" i="42"/>
  <c r="H103" i="42"/>
  <c r="H104" i="42"/>
  <c r="H105" i="42"/>
  <c r="H106" i="42"/>
  <c r="H107" i="42"/>
  <c r="H108" i="42"/>
  <c r="H109" i="42"/>
  <c r="H110" i="42"/>
  <c r="H111" i="42"/>
  <c r="H112" i="42"/>
  <c r="H113" i="42"/>
  <c r="H114" i="42"/>
  <c r="H115" i="42"/>
  <c r="H116" i="42"/>
  <c r="H117" i="42"/>
  <c r="H118" i="42"/>
  <c r="H119" i="42"/>
  <c r="H120" i="42"/>
  <c r="H121" i="42"/>
  <c r="H122" i="42"/>
  <c r="H123" i="42"/>
  <c r="H124" i="42"/>
  <c r="H125" i="42"/>
  <c r="H126" i="42"/>
  <c r="H127" i="42"/>
  <c r="H128" i="42"/>
  <c r="H129" i="42"/>
  <c r="H130" i="42"/>
  <c r="H132" i="42"/>
  <c r="H133" i="42"/>
  <c r="H134" i="42"/>
  <c r="H135" i="42"/>
  <c r="H136" i="42"/>
  <c r="H137" i="42"/>
  <c r="H138" i="42"/>
  <c r="H139" i="42"/>
  <c r="H140" i="42"/>
  <c r="H141" i="42"/>
  <c r="H142" i="42"/>
  <c r="H143" i="42"/>
  <c r="H144" i="42"/>
  <c r="H146" i="42"/>
  <c r="H147" i="42"/>
  <c r="H148" i="42"/>
  <c r="H149" i="42"/>
  <c r="H150" i="42"/>
  <c r="H151" i="42"/>
  <c r="H152" i="42"/>
  <c r="H153" i="42"/>
  <c r="H154" i="42"/>
  <c r="H155" i="42"/>
  <c r="H156" i="42"/>
  <c r="H157" i="42"/>
  <c r="H158" i="42"/>
  <c r="H159" i="42"/>
  <c r="H160" i="42"/>
  <c r="H161" i="42"/>
  <c r="H162" i="42"/>
  <c r="H163" i="42"/>
  <c r="H164" i="42"/>
  <c r="H165" i="42"/>
  <c r="H166" i="42"/>
  <c r="H168" i="42"/>
  <c r="H169" i="42"/>
  <c r="H170" i="42"/>
  <c r="H171" i="42"/>
  <c r="H172" i="42"/>
  <c r="H173" i="42"/>
  <c r="H174" i="42"/>
  <c r="H175" i="42"/>
  <c r="H176" i="42"/>
  <c r="H177" i="42"/>
  <c r="H178" i="42"/>
  <c r="H179" i="42"/>
  <c r="H180" i="42"/>
  <c r="H181" i="42"/>
  <c r="H183" i="42"/>
  <c r="H184" i="42"/>
  <c r="H185" i="42"/>
  <c r="H186" i="42"/>
  <c r="H187" i="42"/>
  <c r="H188" i="42"/>
  <c r="H189" i="42"/>
  <c r="H190" i="42"/>
  <c r="H191" i="42"/>
  <c r="H192" i="42"/>
  <c r="H193" i="42"/>
  <c r="H194" i="42"/>
  <c r="H195" i="42"/>
  <c r="H196" i="42"/>
  <c r="H197" i="42"/>
  <c r="H198" i="42"/>
  <c r="H199" i="42"/>
  <c r="H201" i="42"/>
  <c r="H202" i="42"/>
  <c r="H203" i="42"/>
  <c r="H204" i="42"/>
  <c r="H205" i="42"/>
  <c r="H206" i="42"/>
  <c r="H207" i="42"/>
  <c r="H208" i="42"/>
  <c r="H209" i="42"/>
  <c r="H210" i="42"/>
  <c r="H211" i="42"/>
  <c r="H213" i="42"/>
  <c r="H214" i="42"/>
  <c r="H215" i="42"/>
  <c r="H216" i="42"/>
  <c r="H217" i="42"/>
  <c r="H218" i="42"/>
  <c r="H219" i="42"/>
  <c r="H220" i="42"/>
  <c r="H221" i="42"/>
  <c r="H222" i="42"/>
  <c r="H223" i="42"/>
  <c r="H224" i="42"/>
  <c r="H225" i="42"/>
  <c r="H226" i="42"/>
  <c r="H227" i="42"/>
  <c r="H228" i="42"/>
  <c r="H229" i="42"/>
  <c r="H230" i="42"/>
  <c r="H232" i="42"/>
  <c r="H233" i="42"/>
  <c r="H234" i="42"/>
  <c r="H235" i="42"/>
  <c r="H240" i="42"/>
  <c r="H241" i="42"/>
  <c r="H242" i="42"/>
  <c r="H243" i="42"/>
  <c r="H244" i="42"/>
  <c r="H245" i="42"/>
  <c r="H247" i="42"/>
  <c r="H249" i="42"/>
  <c r="H250" i="42"/>
  <c r="H251" i="42"/>
  <c r="H252" i="42"/>
  <c r="H253" i="42"/>
  <c r="H254" i="42"/>
  <c r="H255" i="42"/>
  <c r="H256" i="42"/>
  <c r="H257" i="42"/>
  <c r="H258" i="42"/>
  <c r="H259" i="42"/>
  <c r="H260" i="42"/>
  <c r="H262" i="42"/>
  <c r="H263" i="42"/>
  <c r="H264" i="42"/>
  <c r="H265" i="42"/>
  <c r="H266" i="42"/>
  <c r="H267" i="42"/>
  <c r="H268" i="42"/>
  <c r="H269" i="42"/>
  <c r="H270" i="42"/>
  <c r="H271" i="42"/>
  <c r="H272" i="42"/>
  <c r="H274" i="42"/>
  <c r="H275" i="42"/>
  <c r="H276" i="42"/>
  <c r="H277" i="42"/>
  <c r="H278" i="42"/>
  <c r="H279" i="42"/>
  <c r="H280" i="42"/>
  <c r="H281" i="42"/>
  <c r="H282" i="42"/>
  <c r="H283" i="42"/>
  <c r="H284" i="42"/>
  <c r="H285" i="42"/>
  <c r="H286" i="42"/>
  <c r="H287" i="42"/>
  <c r="H288" i="42"/>
  <c r="H289" i="42"/>
  <c r="H290" i="42"/>
  <c r="H291" i="42"/>
  <c r="H292" i="42"/>
  <c r="H293" i="42"/>
  <c r="H295" i="42"/>
  <c r="H296" i="42"/>
  <c r="H297" i="42"/>
  <c r="H298" i="42"/>
  <c r="H299" i="42"/>
  <c r="H300" i="42"/>
  <c r="H301" i="42"/>
  <c r="H302" i="42"/>
  <c r="H303" i="42"/>
  <c r="H304" i="42"/>
  <c r="H305" i="42"/>
  <c r="H306" i="42"/>
  <c r="H307" i="42"/>
  <c r="H308" i="42"/>
  <c r="H309" i="42"/>
  <c r="H310" i="42"/>
  <c r="H311" i="42"/>
  <c r="H312" i="42"/>
  <c r="H313" i="42"/>
  <c r="H314" i="42"/>
  <c r="H316" i="42"/>
  <c r="H317" i="42"/>
  <c r="H318" i="42"/>
  <c r="H319" i="42"/>
  <c r="H320" i="42"/>
  <c r="H321" i="42"/>
  <c r="H323" i="42"/>
  <c r="H324" i="42"/>
  <c r="H325" i="42"/>
  <c r="H326" i="42"/>
  <c r="H327" i="42"/>
  <c r="H328" i="42"/>
  <c r="H329" i="42"/>
  <c r="H337" i="42"/>
  <c r="O337" i="42" s="1"/>
  <c r="H338" i="42"/>
  <c r="O338" i="42" s="1"/>
  <c r="H339" i="42"/>
  <c r="O339" i="42" s="1"/>
  <c r="H342" i="42"/>
  <c r="O342" i="42" s="1"/>
  <c r="H345" i="42"/>
  <c r="H346" i="42"/>
  <c r="H347" i="42"/>
  <c r="H348" i="42"/>
  <c r="H349" i="42"/>
  <c r="G29" i="42"/>
  <c r="G30" i="42"/>
  <c r="G31" i="42"/>
  <c r="G32" i="42"/>
  <c r="G33" i="42"/>
  <c r="G34" i="42"/>
  <c r="G35" i="42"/>
  <c r="G37" i="42"/>
  <c r="G38" i="42"/>
  <c r="G39" i="42"/>
  <c r="G40" i="42"/>
  <c r="G41" i="42"/>
  <c r="G42" i="42"/>
  <c r="G43" i="42"/>
  <c r="G44" i="42"/>
  <c r="G45" i="42"/>
  <c r="G46" i="42"/>
  <c r="G47" i="42"/>
  <c r="G49" i="42"/>
  <c r="G50" i="42"/>
  <c r="G51" i="42"/>
  <c r="G53" i="42"/>
  <c r="G54" i="42"/>
  <c r="G55" i="42"/>
  <c r="G56" i="42"/>
  <c r="G57" i="42"/>
  <c r="G58" i="42"/>
  <c r="G59" i="42"/>
  <c r="G60" i="42"/>
  <c r="G61" i="42"/>
  <c r="G62" i="42"/>
  <c r="G63" i="42"/>
  <c r="G64" i="42"/>
  <c r="G65" i="42"/>
  <c r="G66" i="42"/>
  <c r="G67" i="42"/>
  <c r="G68" i="42"/>
  <c r="G69" i="42"/>
  <c r="G71" i="42"/>
  <c r="G72" i="42"/>
  <c r="G73" i="42"/>
  <c r="G74" i="42"/>
  <c r="G75" i="42"/>
  <c r="G76" i="42"/>
  <c r="G77" i="42"/>
  <c r="G78" i="42"/>
  <c r="G79" i="42"/>
  <c r="G80" i="42"/>
  <c r="G81" i="42"/>
  <c r="G82" i="42"/>
  <c r="G83" i="42"/>
  <c r="G84" i="42"/>
  <c r="G87" i="42"/>
  <c r="G89" i="42"/>
  <c r="G90" i="42"/>
  <c r="G91" i="42"/>
  <c r="G92" i="42"/>
  <c r="G93" i="42"/>
  <c r="G94" i="42"/>
  <c r="G96" i="42"/>
  <c r="G97" i="42"/>
  <c r="G98" i="42"/>
  <c r="G99" i="42"/>
  <c r="G101" i="42"/>
  <c r="G102" i="42"/>
  <c r="G103" i="42"/>
  <c r="G104" i="42"/>
  <c r="G105" i="42"/>
  <c r="G106" i="42"/>
  <c r="G107" i="42"/>
  <c r="G108" i="42"/>
  <c r="G109" i="42"/>
  <c r="G110" i="42"/>
  <c r="G111" i="42"/>
  <c r="G112" i="42"/>
  <c r="G113" i="42"/>
  <c r="G114" i="42"/>
  <c r="G115" i="42"/>
  <c r="G116" i="42"/>
  <c r="G117" i="42"/>
  <c r="G118" i="42"/>
  <c r="G119" i="42"/>
  <c r="G120" i="42"/>
  <c r="G121" i="42"/>
  <c r="G122" i="42"/>
  <c r="G123" i="42"/>
  <c r="G124" i="42"/>
  <c r="G125" i="42"/>
  <c r="G126" i="42"/>
  <c r="G127" i="42"/>
  <c r="G128" i="42"/>
  <c r="G129" i="42"/>
  <c r="G130" i="42"/>
  <c r="G132" i="42"/>
  <c r="G133" i="42"/>
  <c r="G134" i="42"/>
  <c r="G135" i="42"/>
  <c r="G136" i="42"/>
  <c r="G137" i="42"/>
  <c r="G138" i="42"/>
  <c r="G139" i="42"/>
  <c r="G140" i="42"/>
  <c r="G141" i="42"/>
  <c r="G142" i="42"/>
  <c r="G143" i="42"/>
  <c r="G144" i="42"/>
  <c r="G146" i="42"/>
  <c r="G147" i="42"/>
  <c r="G148" i="42"/>
  <c r="G149" i="42"/>
  <c r="G150" i="42"/>
  <c r="G151" i="42"/>
  <c r="G152" i="42"/>
  <c r="G153" i="42"/>
  <c r="G154" i="42"/>
  <c r="G155" i="42"/>
  <c r="G156" i="42"/>
  <c r="G157" i="42"/>
  <c r="G158" i="42"/>
  <c r="G159" i="42"/>
  <c r="G160" i="42"/>
  <c r="G161" i="42"/>
  <c r="G162" i="42"/>
  <c r="G163" i="42"/>
  <c r="G164" i="42"/>
  <c r="G165" i="42"/>
  <c r="G166" i="42"/>
  <c r="G168" i="42"/>
  <c r="G169" i="42"/>
  <c r="G170" i="42"/>
  <c r="G171" i="42"/>
  <c r="G172" i="42"/>
  <c r="G173" i="42"/>
  <c r="G174" i="42"/>
  <c r="G175" i="42"/>
  <c r="G176" i="42"/>
  <c r="G177" i="42"/>
  <c r="G178" i="42"/>
  <c r="G179" i="42"/>
  <c r="G180" i="42"/>
  <c r="G181" i="42"/>
  <c r="G183" i="42"/>
  <c r="G184" i="42"/>
  <c r="G185" i="42"/>
  <c r="G186" i="42"/>
  <c r="G187" i="42"/>
  <c r="G188" i="42"/>
  <c r="G189" i="42"/>
  <c r="G190" i="42"/>
  <c r="G191" i="42"/>
  <c r="G192" i="42"/>
  <c r="G193" i="42"/>
  <c r="G194" i="42"/>
  <c r="G195" i="42"/>
  <c r="G196" i="42"/>
  <c r="G197" i="42"/>
  <c r="G198" i="42"/>
  <c r="G199" i="42"/>
  <c r="G201" i="42"/>
  <c r="G202" i="42"/>
  <c r="G203" i="42"/>
  <c r="G204" i="42"/>
  <c r="G205" i="42"/>
  <c r="G206" i="42"/>
  <c r="G207" i="42"/>
  <c r="G208" i="42"/>
  <c r="G209" i="42"/>
  <c r="G210" i="42"/>
  <c r="G211" i="42"/>
  <c r="G213" i="42"/>
  <c r="G214" i="42"/>
  <c r="G215" i="42"/>
  <c r="G216" i="42"/>
  <c r="G217" i="42"/>
  <c r="G218" i="42"/>
  <c r="G219" i="42"/>
  <c r="G220" i="42"/>
  <c r="G221" i="42"/>
  <c r="G222" i="42"/>
  <c r="G223" i="42"/>
  <c r="G224" i="42"/>
  <c r="G225" i="42"/>
  <c r="G226" i="42"/>
  <c r="G227" i="42"/>
  <c r="G228" i="42"/>
  <c r="G229" i="42"/>
  <c r="G230" i="42"/>
  <c r="G232" i="42"/>
  <c r="G233" i="42"/>
  <c r="G234" i="42"/>
  <c r="G235" i="42"/>
  <c r="G240" i="42"/>
  <c r="G241" i="42"/>
  <c r="G242" i="42"/>
  <c r="G243" i="42"/>
  <c r="G244" i="42"/>
  <c r="G245" i="42"/>
  <c r="G247" i="42"/>
  <c r="G249" i="42"/>
  <c r="G250" i="42"/>
  <c r="G251" i="42"/>
  <c r="G252" i="42"/>
  <c r="G253" i="42"/>
  <c r="G254" i="42"/>
  <c r="G255" i="42"/>
  <c r="G256" i="42"/>
  <c r="G257" i="42"/>
  <c r="G258" i="42"/>
  <c r="G259" i="42"/>
  <c r="G260" i="42"/>
  <c r="G262" i="42"/>
  <c r="G263" i="42"/>
  <c r="G264" i="42"/>
  <c r="G265" i="42"/>
  <c r="G266" i="42"/>
  <c r="G267" i="42"/>
  <c r="G268" i="42"/>
  <c r="G269" i="42"/>
  <c r="G270" i="42"/>
  <c r="G271" i="42"/>
  <c r="G272" i="42"/>
  <c r="G274" i="42"/>
  <c r="G275" i="42"/>
  <c r="G276" i="42"/>
  <c r="G277" i="42"/>
  <c r="G278" i="42"/>
  <c r="G279" i="42"/>
  <c r="G280" i="42"/>
  <c r="G281" i="42"/>
  <c r="G282" i="42"/>
  <c r="G283" i="42"/>
  <c r="G284" i="42"/>
  <c r="G285" i="42"/>
  <c r="G286" i="42"/>
  <c r="G287" i="42"/>
  <c r="G288" i="42"/>
  <c r="G289" i="42"/>
  <c r="G290" i="42"/>
  <c r="G291" i="42"/>
  <c r="G292" i="42"/>
  <c r="G293" i="42"/>
  <c r="G295" i="42"/>
  <c r="G296" i="42"/>
  <c r="G297" i="42"/>
  <c r="G298" i="42"/>
  <c r="G299" i="42"/>
  <c r="G300" i="42"/>
  <c r="G301" i="42"/>
  <c r="G302" i="42"/>
  <c r="G303" i="42"/>
  <c r="G304" i="42"/>
  <c r="G305" i="42"/>
  <c r="G306" i="42"/>
  <c r="G307" i="42"/>
  <c r="G308" i="42"/>
  <c r="G309" i="42"/>
  <c r="G310" i="42"/>
  <c r="G311" i="42"/>
  <c r="G312" i="42"/>
  <c r="G313" i="42"/>
  <c r="G314" i="42"/>
  <c r="G316" i="42"/>
  <c r="G317" i="42"/>
  <c r="G318" i="42"/>
  <c r="G319" i="42"/>
  <c r="G320" i="42"/>
  <c r="G321" i="42"/>
  <c r="G323" i="42"/>
  <c r="G324" i="42"/>
  <c r="G325" i="42"/>
  <c r="G326" i="42"/>
  <c r="G327" i="42"/>
  <c r="G328" i="42"/>
  <c r="G329" i="42"/>
  <c r="G337" i="42"/>
  <c r="G338" i="42"/>
  <c r="G339" i="42"/>
  <c r="G342" i="42"/>
  <c r="G345" i="42"/>
  <c r="G346" i="42"/>
  <c r="G347" i="42"/>
  <c r="G348" i="42"/>
  <c r="G349" i="42"/>
  <c r="F3" i="42"/>
  <c r="O3" i="42" s="1"/>
  <c r="F4" i="42"/>
  <c r="O4" i="42" s="1"/>
  <c r="F5" i="42"/>
  <c r="O5" i="42" s="1"/>
  <c r="F6" i="42"/>
  <c r="O6" i="42" s="1"/>
  <c r="F8" i="42"/>
  <c r="O8" i="42" s="1"/>
  <c r="F9" i="42"/>
  <c r="O9" i="42" s="1"/>
  <c r="F10" i="42"/>
  <c r="O10" i="42" s="1"/>
  <c r="F29" i="42"/>
  <c r="F31" i="42"/>
  <c r="F32" i="42"/>
  <c r="F33" i="42"/>
  <c r="F34" i="42"/>
  <c r="F37" i="42"/>
  <c r="F38" i="42"/>
  <c r="F39" i="42"/>
  <c r="F40" i="42"/>
  <c r="F41" i="42"/>
  <c r="F42" i="42"/>
  <c r="F43" i="42"/>
  <c r="F44" i="42"/>
  <c r="F45" i="42"/>
  <c r="F46" i="42"/>
  <c r="F47" i="42"/>
  <c r="F49" i="42"/>
  <c r="F50" i="42"/>
  <c r="F51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7" i="42"/>
  <c r="F90" i="42"/>
  <c r="F91" i="42"/>
  <c r="F92" i="42"/>
  <c r="F93" i="42"/>
  <c r="F94" i="42"/>
  <c r="F96" i="42"/>
  <c r="F97" i="42"/>
  <c r="F98" i="42"/>
  <c r="F99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1" i="42"/>
  <c r="F202" i="42"/>
  <c r="F203" i="42"/>
  <c r="F204" i="42"/>
  <c r="F205" i="42"/>
  <c r="F206" i="42"/>
  <c r="F207" i="42"/>
  <c r="F208" i="42"/>
  <c r="F209" i="42"/>
  <c r="F210" i="42"/>
  <c r="F211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2" i="42"/>
  <c r="F233" i="42"/>
  <c r="F234" i="42"/>
  <c r="F235" i="42"/>
  <c r="F241" i="42"/>
  <c r="F242" i="42"/>
  <c r="F243" i="42"/>
  <c r="F244" i="42"/>
  <c r="F245" i="42"/>
  <c r="F247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2" i="42"/>
  <c r="F263" i="42"/>
  <c r="F264" i="42"/>
  <c r="F265" i="42"/>
  <c r="F266" i="42"/>
  <c r="F267" i="42"/>
  <c r="F268" i="42"/>
  <c r="F269" i="42"/>
  <c r="F270" i="42"/>
  <c r="F271" i="42"/>
  <c r="F272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6" i="42"/>
  <c r="F317" i="42"/>
  <c r="F318" i="42"/>
  <c r="F319" i="42"/>
  <c r="F320" i="42"/>
  <c r="F321" i="42"/>
  <c r="F323" i="42"/>
  <c r="F324" i="42"/>
  <c r="F325" i="42"/>
  <c r="F326" i="42"/>
  <c r="F327" i="42"/>
  <c r="F328" i="42"/>
  <c r="F329" i="42"/>
  <c r="F339" i="42"/>
  <c r="F342" i="42"/>
  <c r="F345" i="42"/>
  <c r="F346" i="42"/>
  <c r="F347" i="42"/>
  <c r="F348" i="42"/>
  <c r="F349" i="42"/>
  <c r="O349" i="42"/>
  <c r="O348" i="42"/>
  <c r="O347" i="42"/>
  <c r="O346" i="42"/>
  <c r="O345" i="42"/>
  <c r="T336" i="42"/>
  <c r="B336" i="42"/>
  <c r="B335" i="42"/>
  <c r="B334" i="42"/>
  <c r="B333" i="42"/>
  <c r="B332" i="42"/>
  <c r="B331" i="42"/>
  <c r="B330" i="42"/>
  <c r="B329" i="42"/>
  <c r="B328" i="42"/>
  <c r="B327" i="42"/>
  <c r="B326" i="42"/>
  <c r="B325" i="42"/>
  <c r="B324" i="42"/>
  <c r="B323" i="42"/>
  <c r="B322" i="42"/>
  <c r="B321" i="42"/>
  <c r="B320" i="42"/>
  <c r="B319" i="42"/>
  <c r="B318" i="42"/>
  <c r="B317" i="42"/>
  <c r="B316" i="42"/>
  <c r="B315" i="42"/>
  <c r="B314" i="42"/>
  <c r="B313" i="42"/>
  <c r="B312" i="42"/>
  <c r="B311" i="42"/>
  <c r="B310" i="42"/>
  <c r="B309" i="42"/>
  <c r="B308" i="42"/>
  <c r="B307" i="42"/>
  <c r="B306" i="42"/>
  <c r="B305" i="42"/>
  <c r="B304" i="42"/>
  <c r="B303" i="42"/>
  <c r="B302" i="42"/>
  <c r="B301" i="42"/>
  <c r="B300" i="42"/>
  <c r="B299" i="42"/>
  <c r="B298" i="42"/>
  <c r="B297" i="42"/>
  <c r="B296" i="42"/>
  <c r="B295" i="42"/>
  <c r="B294" i="42"/>
  <c r="B293" i="42"/>
  <c r="B292" i="42"/>
  <c r="B291" i="42"/>
  <c r="B290" i="42"/>
  <c r="B289" i="42"/>
  <c r="B288" i="42"/>
  <c r="B287" i="42"/>
  <c r="B286" i="42"/>
  <c r="B285" i="42"/>
  <c r="B284" i="42"/>
  <c r="B283" i="42"/>
  <c r="B282" i="42"/>
  <c r="B281" i="42"/>
  <c r="B280" i="42"/>
  <c r="B279" i="42"/>
  <c r="B278" i="42"/>
  <c r="B277" i="42"/>
  <c r="B276" i="42"/>
  <c r="B275" i="42"/>
  <c r="B274" i="42"/>
  <c r="B273" i="42"/>
  <c r="R272" i="42"/>
  <c r="B272" i="42"/>
  <c r="B271" i="42"/>
  <c r="B270" i="42"/>
  <c r="B269" i="42"/>
  <c r="B268" i="42"/>
  <c r="B267" i="42"/>
  <c r="B266" i="42"/>
  <c r="B265" i="42"/>
  <c r="B264" i="42"/>
  <c r="B263" i="42"/>
  <c r="B262" i="42"/>
  <c r="B261" i="42"/>
  <c r="B260" i="42"/>
  <c r="B259" i="42"/>
  <c r="B258" i="42"/>
  <c r="B257" i="42"/>
  <c r="B256" i="42"/>
  <c r="B255" i="42"/>
  <c r="B254" i="42"/>
  <c r="B253" i="42"/>
  <c r="B252" i="42"/>
  <c r="B251" i="42"/>
  <c r="B250" i="42"/>
  <c r="B249" i="42"/>
  <c r="B248" i="42"/>
  <c r="B247" i="42"/>
  <c r="B246" i="42"/>
  <c r="B245" i="42"/>
  <c r="B244" i="42"/>
  <c r="B243" i="42"/>
  <c r="B242" i="42"/>
  <c r="B241" i="42"/>
  <c r="B240" i="42"/>
  <c r="B239" i="42"/>
  <c r="B238" i="42"/>
  <c r="B237" i="42"/>
  <c r="B236" i="42"/>
  <c r="B235" i="42"/>
  <c r="B234" i="42"/>
  <c r="B233" i="42"/>
  <c r="B232" i="42"/>
  <c r="B231" i="42"/>
  <c r="B230" i="42"/>
  <c r="B229" i="42"/>
  <c r="B228" i="42"/>
  <c r="B227" i="42"/>
  <c r="B226" i="42"/>
  <c r="B225" i="42"/>
  <c r="B224" i="42"/>
  <c r="B223" i="42"/>
  <c r="B222" i="42"/>
  <c r="B221" i="42"/>
  <c r="B220" i="42"/>
  <c r="B219" i="42"/>
  <c r="B218" i="42"/>
  <c r="B217" i="42"/>
  <c r="B216" i="42"/>
  <c r="B215" i="42"/>
  <c r="B214" i="42"/>
  <c r="B213" i="42"/>
  <c r="B212" i="42"/>
  <c r="B211" i="42"/>
  <c r="B210" i="42"/>
  <c r="B209" i="42"/>
  <c r="B208" i="42"/>
  <c r="B207" i="42"/>
  <c r="B206" i="42"/>
  <c r="B205" i="42"/>
  <c r="B204" i="42"/>
  <c r="B203" i="42"/>
  <c r="B202" i="42"/>
  <c r="B201" i="42"/>
  <c r="B200" i="42"/>
  <c r="B199" i="42"/>
  <c r="B198" i="42"/>
  <c r="B197" i="42"/>
  <c r="B196" i="42"/>
  <c r="B195" i="42"/>
  <c r="B194" i="42"/>
  <c r="B193" i="42"/>
  <c r="B192" i="42"/>
  <c r="B191" i="42"/>
  <c r="B190" i="42"/>
  <c r="B189" i="42"/>
  <c r="B188" i="42"/>
  <c r="B187" i="42"/>
  <c r="B186" i="42"/>
  <c r="B185" i="42"/>
  <c r="B184" i="42"/>
  <c r="B183" i="42"/>
  <c r="B182" i="42"/>
  <c r="B181" i="42"/>
  <c r="B180" i="42"/>
  <c r="B179" i="42"/>
  <c r="B178" i="42"/>
  <c r="B177" i="42"/>
  <c r="B176" i="42"/>
  <c r="B175" i="42"/>
  <c r="B174" i="42"/>
  <c r="B173" i="42"/>
  <c r="B172" i="42"/>
  <c r="B171" i="42"/>
  <c r="B170" i="42"/>
  <c r="B169" i="42"/>
  <c r="B168" i="42"/>
  <c r="B167" i="42"/>
  <c r="B166" i="42"/>
  <c r="B165" i="42"/>
  <c r="B164" i="42"/>
  <c r="B163" i="42"/>
  <c r="B162" i="42"/>
  <c r="B161" i="42"/>
  <c r="B160" i="42"/>
  <c r="B159" i="42"/>
  <c r="B158" i="42"/>
  <c r="B157" i="42"/>
  <c r="B156" i="42"/>
  <c r="B155" i="42"/>
  <c r="B154" i="42"/>
  <c r="B153" i="42"/>
  <c r="B152" i="42"/>
  <c r="B151" i="42"/>
  <c r="B150" i="42"/>
  <c r="B149" i="42"/>
  <c r="B148" i="42"/>
  <c r="B147" i="42"/>
  <c r="B146" i="42"/>
  <c r="B145" i="42"/>
  <c r="B144" i="42"/>
  <c r="B143" i="42"/>
  <c r="B142" i="42"/>
  <c r="B141" i="42"/>
  <c r="B140" i="42"/>
  <c r="B139" i="42"/>
  <c r="B138" i="42"/>
  <c r="B137" i="42"/>
  <c r="B136" i="42"/>
  <c r="B135" i="42"/>
  <c r="B134" i="42"/>
  <c r="B133" i="42"/>
  <c r="B132" i="42"/>
  <c r="B131" i="42"/>
  <c r="B130" i="42"/>
  <c r="B129" i="42"/>
  <c r="B128" i="42"/>
  <c r="B127" i="42"/>
  <c r="B126" i="42"/>
  <c r="B125" i="42"/>
  <c r="B124" i="42"/>
  <c r="B123" i="42"/>
  <c r="B122" i="42"/>
  <c r="B121" i="42"/>
  <c r="B120" i="42"/>
  <c r="B119" i="42"/>
  <c r="B118" i="42"/>
  <c r="B117" i="42"/>
  <c r="B116" i="42"/>
  <c r="B115" i="42"/>
  <c r="B114" i="42"/>
  <c r="B113" i="42"/>
  <c r="B112" i="42"/>
  <c r="B111" i="42"/>
  <c r="B110" i="42"/>
  <c r="B109" i="42"/>
  <c r="B108" i="42"/>
  <c r="B107" i="42"/>
  <c r="B106" i="42"/>
  <c r="B105" i="42"/>
  <c r="B104" i="42"/>
  <c r="B103" i="42"/>
  <c r="B102" i="42"/>
  <c r="B101" i="42"/>
  <c r="B100" i="42"/>
  <c r="B99" i="42"/>
  <c r="B98" i="42"/>
  <c r="B97" i="42"/>
  <c r="B96" i="42"/>
  <c r="B95" i="42"/>
  <c r="B94" i="42"/>
  <c r="B93" i="42"/>
  <c r="B92" i="42"/>
  <c r="B91" i="42"/>
  <c r="B90" i="42"/>
  <c r="B89" i="42"/>
  <c r="B88" i="42"/>
  <c r="R87" i="42"/>
  <c r="B87" i="42"/>
  <c r="B86" i="42"/>
  <c r="B85" i="42"/>
  <c r="B84" i="42"/>
  <c r="B83" i="42"/>
  <c r="B82" i="42"/>
  <c r="B81" i="42"/>
  <c r="B80" i="42"/>
  <c r="B79" i="42"/>
  <c r="B78" i="42"/>
  <c r="B77" i="42"/>
  <c r="B76" i="42"/>
  <c r="B75" i="42"/>
  <c r="B74" i="42"/>
  <c r="B73" i="42"/>
  <c r="B72" i="42"/>
  <c r="B71" i="42"/>
  <c r="B70" i="42"/>
  <c r="B69" i="42"/>
  <c r="B68" i="42"/>
  <c r="B67" i="42"/>
  <c r="B66" i="42"/>
  <c r="B65" i="42"/>
  <c r="B64" i="42"/>
  <c r="B63" i="42"/>
  <c r="B62" i="42"/>
  <c r="B61" i="42"/>
  <c r="B60" i="42"/>
  <c r="B59" i="42"/>
  <c r="B58" i="42"/>
  <c r="B57" i="42"/>
  <c r="B56" i="42"/>
  <c r="B55" i="42"/>
  <c r="B54" i="42"/>
  <c r="B53" i="42"/>
  <c r="B52" i="42"/>
  <c r="B51" i="42"/>
  <c r="B50" i="42"/>
  <c r="B49" i="42"/>
  <c r="B48" i="42"/>
  <c r="B47" i="42"/>
  <c r="B46" i="42"/>
  <c r="B45" i="42"/>
  <c r="B44" i="42"/>
  <c r="B43" i="42"/>
  <c r="B42" i="42"/>
  <c r="B41" i="42"/>
  <c r="B40" i="42"/>
  <c r="B39" i="42"/>
  <c r="B38" i="42"/>
  <c r="B37" i="42"/>
  <c r="B36" i="42"/>
  <c r="B35" i="42"/>
  <c r="B34" i="42"/>
  <c r="B33" i="42"/>
  <c r="B32" i="42"/>
  <c r="B31" i="42"/>
  <c r="B30" i="42"/>
  <c r="B29" i="42"/>
  <c r="B28" i="42"/>
  <c r="B27" i="42"/>
  <c r="B16" i="42"/>
  <c r="B15" i="42"/>
  <c r="B14" i="42"/>
  <c r="B13" i="42"/>
  <c r="B12" i="42"/>
  <c r="B11" i="42"/>
  <c r="B10" i="42"/>
  <c r="B9" i="42"/>
  <c r="B8" i="42"/>
  <c r="B7" i="42"/>
  <c r="B6" i="42"/>
  <c r="B5" i="42"/>
  <c r="B4" i="42"/>
  <c r="B3" i="42"/>
  <c r="B2" i="42"/>
  <c r="B336" i="41"/>
  <c r="B335" i="41"/>
  <c r="B334" i="41"/>
  <c r="B333" i="41"/>
  <c r="B332" i="41"/>
  <c r="B331" i="41"/>
  <c r="B330" i="41"/>
  <c r="B329" i="41"/>
  <c r="B328" i="41"/>
  <c r="B327" i="41"/>
  <c r="B326" i="41"/>
  <c r="B325" i="41"/>
  <c r="B324" i="41"/>
  <c r="B323" i="41"/>
  <c r="B322" i="41"/>
  <c r="B321" i="41"/>
  <c r="B320" i="41"/>
  <c r="B319" i="41"/>
  <c r="B318" i="41"/>
  <c r="B317" i="41"/>
  <c r="B316" i="41"/>
  <c r="B315" i="41"/>
  <c r="B314" i="41"/>
  <c r="B313" i="41"/>
  <c r="B312" i="41"/>
  <c r="B311" i="41"/>
  <c r="B310" i="41"/>
  <c r="B309" i="41"/>
  <c r="B308" i="41"/>
  <c r="B307" i="41"/>
  <c r="B306" i="41"/>
  <c r="B305" i="41"/>
  <c r="B304" i="41"/>
  <c r="B303" i="41"/>
  <c r="B302" i="41"/>
  <c r="B301" i="41"/>
  <c r="B300" i="41"/>
  <c r="B299" i="41"/>
  <c r="B298" i="41"/>
  <c r="B297" i="41"/>
  <c r="B296" i="41"/>
  <c r="B295" i="41"/>
  <c r="B294" i="41"/>
  <c r="B293" i="41"/>
  <c r="B292" i="41"/>
  <c r="B291" i="41"/>
  <c r="B290" i="41"/>
  <c r="B289" i="41"/>
  <c r="B288" i="41"/>
  <c r="B287" i="41"/>
  <c r="B286" i="41"/>
  <c r="B285" i="41"/>
  <c r="B284" i="41"/>
  <c r="B283" i="41"/>
  <c r="B282" i="41"/>
  <c r="B281" i="41"/>
  <c r="B280" i="41"/>
  <c r="B279" i="41"/>
  <c r="B278" i="41"/>
  <c r="B277" i="41"/>
  <c r="B276" i="41"/>
  <c r="B275" i="41"/>
  <c r="B274" i="41"/>
  <c r="B273" i="41"/>
  <c r="B272" i="41"/>
  <c r="B271" i="41"/>
  <c r="B270" i="41"/>
  <c r="B269" i="41"/>
  <c r="B268" i="41"/>
  <c r="B267" i="41"/>
  <c r="B266" i="41"/>
  <c r="B265" i="41"/>
  <c r="B264" i="41"/>
  <c r="B263" i="41"/>
  <c r="B262" i="41"/>
  <c r="B261" i="41"/>
  <c r="B260" i="41"/>
  <c r="B259" i="41"/>
  <c r="B258" i="41"/>
  <c r="B257" i="41"/>
  <c r="B256" i="41"/>
  <c r="B255" i="41"/>
  <c r="B254" i="41"/>
  <c r="B253" i="41"/>
  <c r="B252" i="41"/>
  <c r="B251" i="41"/>
  <c r="B250" i="41"/>
  <c r="B249" i="41"/>
  <c r="B248" i="41"/>
  <c r="B247" i="41"/>
  <c r="B246" i="41"/>
  <c r="B245" i="41"/>
  <c r="B244" i="41"/>
  <c r="B243" i="41"/>
  <c r="B242" i="41"/>
  <c r="B241" i="41"/>
  <c r="B240" i="41"/>
  <c r="B239" i="41"/>
  <c r="B238" i="41"/>
  <c r="B237" i="41"/>
  <c r="B236" i="41"/>
  <c r="B235" i="41"/>
  <c r="B234" i="41"/>
  <c r="B233" i="41"/>
  <c r="B232" i="41"/>
  <c r="B231" i="41"/>
  <c r="B230" i="41"/>
  <c r="B229" i="41"/>
  <c r="B228" i="41"/>
  <c r="B227" i="41"/>
  <c r="B226" i="41"/>
  <c r="B225" i="41"/>
  <c r="B224" i="41"/>
  <c r="B223" i="41"/>
  <c r="B222" i="41"/>
  <c r="B221" i="41"/>
  <c r="B220" i="41"/>
  <c r="B219" i="41"/>
  <c r="B218" i="41"/>
  <c r="B217" i="41"/>
  <c r="B216" i="41"/>
  <c r="B215" i="41"/>
  <c r="B214" i="41"/>
  <c r="B213" i="41"/>
  <c r="B212" i="41"/>
  <c r="B211" i="41"/>
  <c r="B210" i="41"/>
  <c r="B209" i="41"/>
  <c r="B208" i="41"/>
  <c r="B207" i="41"/>
  <c r="B206" i="41"/>
  <c r="B205" i="41"/>
  <c r="B204" i="41"/>
  <c r="B203" i="41"/>
  <c r="B202" i="41"/>
  <c r="B201" i="41"/>
  <c r="B200" i="41"/>
  <c r="B199" i="41"/>
  <c r="B198" i="41"/>
  <c r="B197" i="41"/>
  <c r="B196" i="41"/>
  <c r="B195" i="41"/>
  <c r="B194" i="41"/>
  <c r="B193" i="41"/>
  <c r="B192" i="41"/>
  <c r="B191" i="41"/>
  <c r="B190" i="41"/>
  <c r="B189" i="41"/>
  <c r="B188" i="41"/>
  <c r="B187" i="41"/>
  <c r="B186" i="41"/>
  <c r="B185" i="41"/>
  <c r="B184" i="41"/>
  <c r="B183" i="41"/>
  <c r="B182" i="41"/>
  <c r="B181" i="41"/>
  <c r="B180" i="41"/>
  <c r="B179" i="41"/>
  <c r="B178" i="41"/>
  <c r="B177" i="41"/>
  <c r="B176" i="41"/>
  <c r="B175" i="41"/>
  <c r="B174" i="41"/>
  <c r="B173" i="41"/>
  <c r="B172" i="41"/>
  <c r="B171" i="41"/>
  <c r="B170" i="41"/>
  <c r="B169" i="41"/>
  <c r="B168" i="41"/>
  <c r="B167" i="41"/>
  <c r="B166" i="41"/>
  <c r="B165" i="41"/>
  <c r="B164" i="41"/>
  <c r="B163" i="41"/>
  <c r="B162" i="41"/>
  <c r="B161" i="41"/>
  <c r="B160" i="41"/>
  <c r="B159" i="41"/>
  <c r="B158" i="41"/>
  <c r="B157" i="41"/>
  <c r="B156" i="41"/>
  <c r="B155" i="41"/>
  <c r="B154" i="41"/>
  <c r="B153" i="41"/>
  <c r="B152" i="41"/>
  <c r="B151" i="41"/>
  <c r="B150" i="41"/>
  <c r="B149" i="41"/>
  <c r="B148" i="41"/>
  <c r="B147" i="41"/>
  <c r="B146" i="41"/>
  <c r="B145" i="41"/>
  <c r="B144" i="41"/>
  <c r="B143" i="41"/>
  <c r="B142" i="41"/>
  <c r="B141" i="41"/>
  <c r="B140" i="41"/>
  <c r="B139" i="41"/>
  <c r="B138" i="41"/>
  <c r="B137" i="41"/>
  <c r="B136" i="41"/>
  <c r="B135" i="41"/>
  <c r="B134" i="41"/>
  <c r="B133" i="41"/>
  <c r="B132" i="41"/>
  <c r="B131" i="41"/>
  <c r="B130" i="41"/>
  <c r="B129" i="41"/>
  <c r="B128" i="41"/>
  <c r="B127" i="41"/>
  <c r="B126" i="41"/>
  <c r="B125" i="41"/>
  <c r="B124" i="41"/>
  <c r="B123" i="41"/>
  <c r="B122" i="41"/>
  <c r="B121" i="41"/>
  <c r="B120" i="41"/>
  <c r="B119" i="41"/>
  <c r="B118" i="41"/>
  <c r="B117" i="41"/>
  <c r="B116" i="41"/>
  <c r="B115" i="41"/>
  <c r="B114" i="41"/>
  <c r="B113" i="41"/>
  <c r="B112" i="41"/>
  <c r="B111" i="41"/>
  <c r="B110" i="41"/>
  <c r="B109" i="41"/>
  <c r="B108" i="41"/>
  <c r="B107" i="41"/>
  <c r="B106" i="41"/>
  <c r="B105" i="41"/>
  <c r="B104" i="41"/>
  <c r="B103" i="41"/>
  <c r="B102" i="41"/>
  <c r="B101" i="41"/>
  <c r="B100" i="41"/>
  <c r="B99" i="41"/>
  <c r="B97" i="41"/>
  <c r="B96" i="41"/>
  <c r="B95" i="41"/>
  <c r="B94" i="41"/>
  <c r="B93" i="41"/>
  <c r="B92" i="41"/>
  <c r="B91" i="41"/>
  <c r="B90" i="41"/>
  <c r="B89" i="41"/>
  <c r="B88" i="41"/>
  <c r="B87" i="41"/>
  <c r="B86" i="41"/>
  <c r="B85" i="41"/>
  <c r="B84" i="41"/>
  <c r="B83" i="41"/>
  <c r="B82" i="41"/>
  <c r="B81" i="41"/>
  <c r="B80" i="41"/>
  <c r="B79" i="41"/>
  <c r="B78" i="41"/>
  <c r="B77" i="41"/>
  <c r="B76" i="41"/>
  <c r="B75" i="41"/>
  <c r="B74" i="41"/>
  <c r="B73" i="41"/>
  <c r="B72" i="41"/>
  <c r="B71" i="41"/>
  <c r="B70" i="41"/>
  <c r="B69" i="41"/>
  <c r="B68" i="41"/>
  <c r="B67" i="41"/>
  <c r="B66" i="41"/>
  <c r="B65" i="41"/>
  <c r="B64" i="41"/>
  <c r="B63" i="41"/>
  <c r="B62" i="41"/>
  <c r="B61" i="41"/>
  <c r="K57" i="43"/>
  <c r="B60" i="41"/>
  <c r="B59" i="41"/>
  <c r="B58" i="41"/>
  <c r="B57" i="41"/>
  <c r="B56" i="41"/>
  <c r="B55" i="41"/>
  <c r="B54" i="41"/>
  <c r="B53" i="41"/>
  <c r="B52" i="41"/>
  <c r="B51" i="41"/>
  <c r="B50" i="41"/>
  <c r="B49" i="41"/>
  <c r="B48" i="41"/>
  <c r="B47" i="41"/>
  <c r="B46" i="41"/>
  <c r="B45" i="41"/>
  <c r="B44" i="41"/>
  <c r="B43" i="41"/>
  <c r="B42" i="41"/>
  <c r="B41" i="41"/>
  <c r="B40" i="41"/>
  <c r="B39" i="41"/>
  <c r="B38" i="41"/>
  <c r="B37" i="41"/>
  <c r="B36" i="41"/>
  <c r="B35" i="41"/>
  <c r="B34" i="41"/>
  <c r="B30" i="41"/>
  <c r="B29" i="41"/>
  <c r="B28" i="41"/>
  <c r="B27" i="41"/>
  <c r="B17" i="41"/>
  <c r="B16" i="41"/>
  <c r="B15" i="41"/>
  <c r="B14" i="41"/>
  <c r="B13" i="41"/>
  <c r="B12" i="41"/>
  <c r="B11" i="41"/>
  <c r="B10" i="41"/>
  <c r="B9" i="41"/>
  <c r="B8" i="41"/>
  <c r="B7" i="41"/>
  <c r="B6" i="41"/>
  <c r="B5" i="41"/>
  <c r="B4" i="41"/>
  <c r="B3" i="41"/>
  <c r="B2" i="41"/>
  <c r="C3" i="40"/>
  <c r="B351" i="40"/>
  <c r="B336" i="40"/>
  <c r="B335" i="40"/>
  <c r="B334" i="40"/>
  <c r="B333" i="40"/>
  <c r="B332" i="40"/>
  <c r="B331" i="40"/>
  <c r="B330" i="40"/>
  <c r="B329" i="40"/>
  <c r="B328" i="40"/>
  <c r="B327" i="40"/>
  <c r="B326" i="40"/>
  <c r="B325" i="40"/>
  <c r="B324" i="40"/>
  <c r="B323" i="40"/>
  <c r="B322" i="40"/>
  <c r="B321" i="40"/>
  <c r="B320" i="40"/>
  <c r="B319" i="40"/>
  <c r="B318" i="40"/>
  <c r="B317" i="40"/>
  <c r="B316" i="40"/>
  <c r="B315" i="40"/>
  <c r="B314" i="40"/>
  <c r="B313" i="40"/>
  <c r="B312" i="40"/>
  <c r="B311" i="40"/>
  <c r="B310" i="40"/>
  <c r="B309" i="40"/>
  <c r="B308" i="40"/>
  <c r="B307" i="40"/>
  <c r="B306" i="40"/>
  <c r="B305" i="40"/>
  <c r="B304" i="40"/>
  <c r="B303" i="40"/>
  <c r="B302" i="40"/>
  <c r="B301" i="40"/>
  <c r="B300" i="40"/>
  <c r="B299" i="40"/>
  <c r="B298" i="40"/>
  <c r="B297" i="40"/>
  <c r="B296" i="40"/>
  <c r="B295" i="40"/>
  <c r="B294" i="40"/>
  <c r="B293" i="40"/>
  <c r="B292" i="40"/>
  <c r="B291" i="40"/>
  <c r="B290" i="40"/>
  <c r="B289" i="40"/>
  <c r="B288" i="40"/>
  <c r="B287" i="40"/>
  <c r="B286" i="40"/>
  <c r="B285" i="40"/>
  <c r="B284" i="40"/>
  <c r="B283" i="40"/>
  <c r="B282" i="40"/>
  <c r="B281" i="40"/>
  <c r="B280" i="40"/>
  <c r="B279" i="40"/>
  <c r="B278" i="40"/>
  <c r="B277" i="40"/>
  <c r="B276" i="40"/>
  <c r="B275" i="40"/>
  <c r="B274" i="40"/>
  <c r="B273" i="40"/>
  <c r="B272" i="40"/>
  <c r="B271" i="40"/>
  <c r="B270" i="40"/>
  <c r="B269" i="40"/>
  <c r="B268" i="40"/>
  <c r="B267" i="40"/>
  <c r="B266" i="40"/>
  <c r="B265" i="40"/>
  <c r="B264" i="40"/>
  <c r="B263" i="40"/>
  <c r="B262" i="40"/>
  <c r="B261" i="40"/>
  <c r="B260" i="40"/>
  <c r="B259" i="40"/>
  <c r="B258" i="40"/>
  <c r="B257" i="40"/>
  <c r="B256" i="40"/>
  <c r="B255" i="40"/>
  <c r="B254" i="40"/>
  <c r="B253" i="40"/>
  <c r="B252" i="40"/>
  <c r="B251" i="40"/>
  <c r="B250" i="40"/>
  <c r="B249" i="40"/>
  <c r="B248" i="40"/>
  <c r="B247" i="40"/>
  <c r="B246" i="40"/>
  <c r="B245" i="40"/>
  <c r="B244" i="40"/>
  <c r="B243" i="40"/>
  <c r="B242" i="40"/>
  <c r="B241" i="40"/>
  <c r="B240" i="40"/>
  <c r="B239" i="40"/>
  <c r="B238" i="40"/>
  <c r="B237" i="40"/>
  <c r="B236" i="40"/>
  <c r="B235" i="40"/>
  <c r="B234" i="40"/>
  <c r="B233" i="40"/>
  <c r="B232" i="40"/>
  <c r="B231" i="40"/>
  <c r="B230" i="40"/>
  <c r="B229" i="40"/>
  <c r="B228" i="40"/>
  <c r="B227" i="40"/>
  <c r="B226" i="40"/>
  <c r="B225" i="40"/>
  <c r="B224" i="40"/>
  <c r="B223" i="40"/>
  <c r="B222" i="40"/>
  <c r="B221" i="40"/>
  <c r="B220" i="40"/>
  <c r="B219" i="40"/>
  <c r="B218" i="40"/>
  <c r="B217" i="40"/>
  <c r="B216" i="40"/>
  <c r="B215" i="40"/>
  <c r="B214" i="40"/>
  <c r="B213" i="40"/>
  <c r="B212" i="40"/>
  <c r="B211" i="40"/>
  <c r="B210" i="40"/>
  <c r="B209" i="40"/>
  <c r="B208" i="40"/>
  <c r="B206" i="40"/>
  <c r="B205" i="40"/>
  <c r="B204" i="40"/>
  <c r="B203" i="40"/>
  <c r="B202" i="40"/>
  <c r="B201" i="40"/>
  <c r="B200" i="40"/>
  <c r="B199" i="40"/>
  <c r="B198" i="40"/>
  <c r="B197" i="40"/>
  <c r="B196" i="40"/>
  <c r="B195" i="40"/>
  <c r="B194" i="40"/>
  <c r="B193" i="40"/>
  <c r="B192" i="40"/>
  <c r="B191" i="40"/>
  <c r="B190" i="40"/>
  <c r="B189" i="40"/>
  <c r="B188" i="40"/>
  <c r="B187" i="40"/>
  <c r="B186" i="40"/>
  <c r="B185" i="40"/>
  <c r="B184" i="40"/>
  <c r="B183" i="40"/>
  <c r="B182" i="40"/>
  <c r="B181" i="40"/>
  <c r="B180" i="40"/>
  <c r="B179" i="40"/>
  <c r="B178" i="40"/>
  <c r="B177" i="40"/>
  <c r="B176" i="40"/>
  <c r="B175" i="40"/>
  <c r="B174" i="40"/>
  <c r="B173" i="40"/>
  <c r="B172" i="40"/>
  <c r="B171" i="40"/>
  <c r="B170" i="40"/>
  <c r="B169" i="40"/>
  <c r="B168" i="40"/>
  <c r="B167" i="40"/>
  <c r="B166" i="40"/>
  <c r="B165" i="40"/>
  <c r="B164" i="40"/>
  <c r="B163" i="40"/>
  <c r="B162" i="40"/>
  <c r="B161" i="40"/>
  <c r="B160" i="40"/>
  <c r="B159" i="40"/>
  <c r="B158" i="40"/>
  <c r="B157" i="40"/>
  <c r="B156" i="40"/>
  <c r="B155" i="40"/>
  <c r="B154" i="40"/>
  <c r="B153" i="40"/>
  <c r="B152" i="40"/>
  <c r="B151" i="40"/>
  <c r="B150" i="40"/>
  <c r="B149" i="40"/>
  <c r="B148" i="40"/>
  <c r="B147" i="40"/>
  <c r="B146" i="40"/>
  <c r="B145" i="40"/>
  <c r="B144" i="40"/>
  <c r="B143" i="40"/>
  <c r="B142" i="40"/>
  <c r="B141" i="40"/>
  <c r="B140" i="40"/>
  <c r="B139" i="40"/>
  <c r="B138" i="40"/>
  <c r="B137" i="40"/>
  <c r="B136" i="40"/>
  <c r="B135" i="40"/>
  <c r="B134" i="40"/>
  <c r="B133" i="40"/>
  <c r="B132" i="40"/>
  <c r="B131" i="40"/>
  <c r="B130" i="40"/>
  <c r="B129" i="40"/>
  <c r="B128" i="40"/>
  <c r="B127" i="40"/>
  <c r="B126" i="40"/>
  <c r="B125" i="40"/>
  <c r="B124" i="40"/>
  <c r="B123" i="40"/>
  <c r="B122" i="40"/>
  <c r="B121" i="40"/>
  <c r="B120" i="40"/>
  <c r="B119" i="40"/>
  <c r="B118" i="40"/>
  <c r="B117" i="40"/>
  <c r="B116" i="40"/>
  <c r="B115" i="40"/>
  <c r="B114" i="40"/>
  <c r="B113" i="40"/>
  <c r="B112" i="40"/>
  <c r="B111" i="40"/>
  <c r="B110" i="40"/>
  <c r="B109" i="40"/>
  <c r="B108" i="40"/>
  <c r="B107" i="40"/>
  <c r="B106" i="40"/>
  <c r="B105" i="40"/>
  <c r="B104" i="40"/>
  <c r="B103" i="40"/>
  <c r="B102" i="40"/>
  <c r="B101" i="40"/>
  <c r="B100" i="40"/>
  <c r="B99" i="40"/>
  <c r="B98" i="40"/>
  <c r="B97" i="40"/>
  <c r="B96" i="40"/>
  <c r="B95" i="40"/>
  <c r="B94" i="40"/>
  <c r="B93" i="40"/>
  <c r="B92" i="40"/>
  <c r="B91" i="40"/>
  <c r="B90" i="40"/>
  <c r="B89" i="40"/>
  <c r="B88" i="40"/>
  <c r="B87" i="40"/>
  <c r="B86" i="40"/>
  <c r="B85" i="40"/>
  <c r="B84" i="40"/>
  <c r="B83" i="40"/>
  <c r="B82" i="40"/>
  <c r="B81" i="40"/>
  <c r="B80" i="40"/>
  <c r="B79" i="40"/>
  <c r="B78" i="40"/>
  <c r="B77" i="40"/>
  <c r="B76" i="40"/>
  <c r="B75" i="40"/>
  <c r="B74" i="40"/>
  <c r="B73" i="40"/>
  <c r="B72" i="40"/>
  <c r="B71" i="40"/>
  <c r="B70" i="40"/>
  <c r="B69" i="40"/>
  <c r="B68" i="40"/>
  <c r="B67" i="40"/>
  <c r="B66" i="40"/>
  <c r="B65" i="40"/>
  <c r="B64" i="40"/>
  <c r="B63" i="40"/>
  <c r="B62" i="40"/>
  <c r="B61" i="40"/>
  <c r="J60" i="43"/>
  <c r="B60" i="40"/>
  <c r="B59" i="40"/>
  <c r="B58" i="40"/>
  <c r="B57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43" i="40"/>
  <c r="B42" i="40"/>
  <c r="B41" i="40"/>
  <c r="B40" i="40"/>
  <c r="B39" i="40"/>
  <c r="B38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15" i="40"/>
  <c r="B14" i="40"/>
  <c r="B13" i="40"/>
  <c r="B12" i="40"/>
  <c r="J11" i="43"/>
  <c r="B11" i="40"/>
  <c r="B10" i="40"/>
  <c r="B9" i="40"/>
  <c r="B8" i="40"/>
  <c r="B7" i="40"/>
  <c r="B6" i="40"/>
  <c r="B5" i="40"/>
  <c r="B4" i="40"/>
  <c r="B3" i="40"/>
  <c r="B2" i="40"/>
  <c r="H29" i="35"/>
  <c r="H30" i="35"/>
  <c r="H31" i="35"/>
  <c r="H32" i="35"/>
  <c r="H33" i="35"/>
  <c r="H34" i="35"/>
  <c r="H35" i="35"/>
  <c r="H37" i="35"/>
  <c r="H38" i="35"/>
  <c r="H39" i="35"/>
  <c r="H40" i="35"/>
  <c r="H41" i="35"/>
  <c r="H42" i="35"/>
  <c r="H43" i="35"/>
  <c r="H44" i="35"/>
  <c r="H45" i="35"/>
  <c r="H46" i="35"/>
  <c r="H47" i="35"/>
  <c r="H49" i="35"/>
  <c r="H50" i="35"/>
  <c r="H51" i="35"/>
  <c r="H53" i="35"/>
  <c r="H54" i="35"/>
  <c r="H55" i="35"/>
  <c r="H56" i="35"/>
  <c r="H57" i="35"/>
  <c r="H58" i="35"/>
  <c r="H59" i="35"/>
  <c r="H61" i="35"/>
  <c r="H62" i="35"/>
  <c r="H63" i="35"/>
  <c r="H64" i="35"/>
  <c r="H65" i="35"/>
  <c r="H66" i="35"/>
  <c r="H67" i="35"/>
  <c r="H68" i="35"/>
  <c r="H69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7" i="35"/>
  <c r="H89" i="35"/>
  <c r="H90" i="35"/>
  <c r="H91" i="35"/>
  <c r="H92" i="35"/>
  <c r="H93" i="35"/>
  <c r="H94" i="35"/>
  <c r="H96" i="35"/>
  <c r="H97" i="35"/>
  <c r="H98" i="35"/>
  <c r="H99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1" i="35"/>
  <c r="H202" i="35"/>
  <c r="H203" i="35"/>
  <c r="H204" i="35"/>
  <c r="H205" i="35"/>
  <c r="H206" i="35"/>
  <c r="H207" i="35"/>
  <c r="H208" i="35"/>
  <c r="H209" i="35"/>
  <c r="H210" i="35"/>
  <c r="H211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2" i="35"/>
  <c r="H233" i="35"/>
  <c r="H234" i="35"/>
  <c r="H235" i="35"/>
  <c r="H240" i="35"/>
  <c r="H241" i="35"/>
  <c r="H242" i="35"/>
  <c r="H243" i="35"/>
  <c r="H244" i="35"/>
  <c r="H245" i="35"/>
  <c r="H247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2" i="35"/>
  <c r="H263" i="35"/>
  <c r="H264" i="35"/>
  <c r="H265" i="35"/>
  <c r="H266" i="35"/>
  <c r="H267" i="35"/>
  <c r="H268" i="35"/>
  <c r="H269" i="35"/>
  <c r="H270" i="35"/>
  <c r="H271" i="35"/>
  <c r="H272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5" i="35"/>
  <c r="H296" i="35"/>
  <c r="H297" i="35"/>
  <c r="H298" i="35"/>
  <c r="H299" i="35"/>
  <c r="H300" i="35"/>
  <c r="H301" i="35"/>
  <c r="H302" i="35"/>
  <c r="H303" i="35"/>
  <c r="H304" i="35"/>
  <c r="H305" i="35"/>
  <c r="H306" i="35"/>
  <c r="H307" i="35"/>
  <c r="H308" i="35"/>
  <c r="H309" i="35"/>
  <c r="H310" i="35"/>
  <c r="H311" i="35"/>
  <c r="H312" i="35"/>
  <c r="H313" i="35"/>
  <c r="H314" i="35"/>
  <c r="H316" i="35"/>
  <c r="H317" i="35"/>
  <c r="H318" i="35"/>
  <c r="H319" i="35"/>
  <c r="H320" i="35"/>
  <c r="H321" i="35"/>
  <c r="H323" i="35"/>
  <c r="H324" i="35"/>
  <c r="H325" i="35"/>
  <c r="H326" i="35"/>
  <c r="H327" i="35"/>
  <c r="H328" i="35"/>
  <c r="H329" i="35"/>
  <c r="H337" i="35"/>
  <c r="O337" i="35" s="1"/>
  <c r="H338" i="35"/>
  <c r="O338" i="35" s="1"/>
  <c r="H339" i="35"/>
  <c r="O339" i="35" s="1"/>
  <c r="H342" i="35"/>
  <c r="O342" i="35" s="1"/>
  <c r="H345" i="35"/>
  <c r="O345" i="35" s="1"/>
  <c r="H346" i="35"/>
  <c r="O346" i="35" s="1"/>
  <c r="H347" i="35"/>
  <c r="O347" i="35" s="1"/>
  <c r="H349" i="35"/>
  <c r="O349" i="35" s="1"/>
  <c r="H350" i="35"/>
  <c r="O350" i="35" s="1"/>
  <c r="G8" i="47"/>
  <c r="B351" i="39"/>
  <c r="B336" i="39"/>
  <c r="B335" i="39"/>
  <c r="B334" i="39"/>
  <c r="B333" i="39"/>
  <c r="B332" i="39"/>
  <c r="B331" i="39"/>
  <c r="B330" i="39"/>
  <c r="B329" i="39"/>
  <c r="B328" i="39"/>
  <c r="B327" i="39"/>
  <c r="B326" i="39"/>
  <c r="B325" i="39"/>
  <c r="B324" i="39"/>
  <c r="B323" i="39"/>
  <c r="B322" i="39"/>
  <c r="B321" i="39"/>
  <c r="B320" i="39"/>
  <c r="B319" i="39"/>
  <c r="B318" i="39"/>
  <c r="B317" i="39"/>
  <c r="B316" i="39"/>
  <c r="B315" i="39"/>
  <c r="B314" i="39"/>
  <c r="B313" i="39"/>
  <c r="B312" i="39"/>
  <c r="B311" i="39"/>
  <c r="B310" i="39"/>
  <c r="B309" i="39"/>
  <c r="B308" i="39"/>
  <c r="B307" i="39"/>
  <c r="B306" i="39"/>
  <c r="B305" i="39"/>
  <c r="B304" i="39"/>
  <c r="B303" i="39"/>
  <c r="B302" i="39"/>
  <c r="B301" i="39"/>
  <c r="B300" i="39"/>
  <c r="B299" i="39"/>
  <c r="B298" i="39"/>
  <c r="B297" i="39"/>
  <c r="B296" i="39"/>
  <c r="B295" i="39"/>
  <c r="I294" i="43"/>
  <c r="B294" i="39"/>
  <c r="B293" i="39"/>
  <c r="B292" i="39"/>
  <c r="B291" i="39"/>
  <c r="B290" i="39"/>
  <c r="B289" i="39"/>
  <c r="B288" i="39"/>
  <c r="B287" i="39"/>
  <c r="B286" i="39"/>
  <c r="B285" i="39"/>
  <c r="B284" i="39"/>
  <c r="B283" i="39"/>
  <c r="B282" i="39"/>
  <c r="B281" i="39"/>
  <c r="B280" i="39"/>
  <c r="B279" i="39"/>
  <c r="B278" i="39"/>
  <c r="B277" i="39"/>
  <c r="B276" i="39"/>
  <c r="B275" i="39"/>
  <c r="B274" i="39"/>
  <c r="I273" i="43"/>
  <c r="B273" i="39"/>
  <c r="B272" i="39"/>
  <c r="B271" i="39"/>
  <c r="B270" i="39"/>
  <c r="B269" i="39"/>
  <c r="B268" i="39"/>
  <c r="B267" i="39"/>
  <c r="B266" i="39"/>
  <c r="B265" i="39"/>
  <c r="B264" i="39"/>
  <c r="B263" i="39"/>
  <c r="B262" i="39"/>
  <c r="B261" i="39"/>
  <c r="B260" i="39"/>
  <c r="B259" i="39"/>
  <c r="B258" i="39"/>
  <c r="B257" i="39"/>
  <c r="B256" i="39"/>
  <c r="B255" i="39"/>
  <c r="B254" i="39"/>
  <c r="B253" i="39"/>
  <c r="B252" i="39"/>
  <c r="B251" i="39"/>
  <c r="B250" i="39"/>
  <c r="B249" i="39"/>
  <c r="I248" i="43"/>
  <c r="B248" i="39"/>
  <c r="B247" i="39"/>
  <c r="B246" i="39"/>
  <c r="B245" i="39"/>
  <c r="B244" i="39"/>
  <c r="B243" i="39"/>
  <c r="B242" i="39"/>
  <c r="B241" i="39"/>
  <c r="B240" i="39"/>
  <c r="I239" i="43"/>
  <c r="B239" i="39"/>
  <c r="B238" i="39"/>
  <c r="B237" i="39"/>
  <c r="B236" i="39"/>
  <c r="B235" i="39"/>
  <c r="B234" i="39"/>
  <c r="B233" i="39"/>
  <c r="B232" i="39"/>
  <c r="B231" i="39"/>
  <c r="B230" i="39"/>
  <c r="B229" i="39"/>
  <c r="B228" i="39"/>
  <c r="B227" i="39"/>
  <c r="B226" i="39"/>
  <c r="B225" i="39"/>
  <c r="B224" i="39"/>
  <c r="B223" i="39"/>
  <c r="B222" i="39"/>
  <c r="B221" i="39"/>
  <c r="B220" i="39"/>
  <c r="B219" i="39"/>
  <c r="B218" i="39"/>
  <c r="B217" i="39"/>
  <c r="B216" i="39"/>
  <c r="B215" i="39"/>
  <c r="B214" i="39"/>
  <c r="B213" i="39"/>
  <c r="I212" i="43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I100" i="43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I48" i="43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17" i="39"/>
  <c r="I16" i="43"/>
  <c r="O16" i="43" s="1"/>
  <c r="B16" i="39"/>
  <c r="B15" i="39"/>
  <c r="I14" i="43"/>
  <c r="O14" i="43" s="1"/>
  <c r="B14" i="39"/>
  <c r="B13" i="39"/>
  <c r="B12" i="39"/>
  <c r="I11" i="43"/>
  <c r="O11" i="43" s="1"/>
  <c r="B11" i="39"/>
  <c r="B10" i="39"/>
  <c r="B9" i="39"/>
  <c r="B8" i="39"/>
  <c r="B7" i="39"/>
  <c r="B6" i="39"/>
  <c r="B5" i="39"/>
  <c r="B4" i="39"/>
  <c r="B3" i="39"/>
  <c r="B2" i="39"/>
  <c r="G29" i="35"/>
  <c r="G30" i="35"/>
  <c r="G31" i="35"/>
  <c r="G32" i="35"/>
  <c r="G33" i="35"/>
  <c r="G34" i="35"/>
  <c r="G35" i="35"/>
  <c r="G37" i="35"/>
  <c r="G38" i="35"/>
  <c r="G39" i="35"/>
  <c r="G40" i="35"/>
  <c r="G41" i="35"/>
  <c r="G42" i="35"/>
  <c r="G43" i="35"/>
  <c r="G44" i="35"/>
  <c r="G45" i="35"/>
  <c r="G46" i="35"/>
  <c r="G47" i="35"/>
  <c r="G49" i="35"/>
  <c r="G50" i="35"/>
  <c r="G51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7" i="35"/>
  <c r="G89" i="35"/>
  <c r="G90" i="35"/>
  <c r="G91" i="35"/>
  <c r="G92" i="35"/>
  <c r="G93" i="35"/>
  <c r="G94" i="35"/>
  <c r="G96" i="35"/>
  <c r="G97" i="35"/>
  <c r="G98" i="35"/>
  <c r="G99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1" i="35"/>
  <c r="G202" i="35"/>
  <c r="G203" i="35"/>
  <c r="G204" i="35"/>
  <c r="G205" i="35"/>
  <c r="G206" i="35"/>
  <c r="G207" i="35"/>
  <c r="G208" i="35"/>
  <c r="G209" i="35"/>
  <c r="G210" i="35"/>
  <c r="G211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2" i="35"/>
  <c r="G233" i="35"/>
  <c r="G234" i="35"/>
  <c r="G235" i="35"/>
  <c r="G240" i="35"/>
  <c r="G241" i="35"/>
  <c r="G242" i="35"/>
  <c r="G243" i="35"/>
  <c r="G244" i="35"/>
  <c r="G245" i="35"/>
  <c r="G247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2" i="35"/>
  <c r="G263" i="35"/>
  <c r="G264" i="35"/>
  <c r="G265" i="35"/>
  <c r="G266" i="35"/>
  <c r="G267" i="35"/>
  <c r="G268" i="35"/>
  <c r="G269" i="35"/>
  <c r="G270" i="35"/>
  <c r="G271" i="35"/>
  <c r="G272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5" i="35"/>
  <c r="G296" i="35"/>
  <c r="G297" i="35"/>
  <c r="G298" i="35"/>
  <c r="G299" i="35"/>
  <c r="G300" i="35"/>
  <c r="G301" i="35"/>
  <c r="G302" i="35"/>
  <c r="G303" i="35"/>
  <c r="G304" i="35"/>
  <c r="G305" i="35"/>
  <c r="G306" i="35"/>
  <c r="G307" i="35"/>
  <c r="G308" i="35"/>
  <c r="G309" i="35"/>
  <c r="G310" i="35"/>
  <c r="G311" i="35"/>
  <c r="G312" i="35"/>
  <c r="G313" i="35"/>
  <c r="G314" i="35"/>
  <c r="G316" i="35"/>
  <c r="G317" i="35"/>
  <c r="G318" i="35"/>
  <c r="G319" i="35"/>
  <c r="G320" i="35"/>
  <c r="G321" i="35"/>
  <c r="G323" i="35"/>
  <c r="G324" i="35"/>
  <c r="G325" i="35"/>
  <c r="G326" i="35"/>
  <c r="G327" i="35"/>
  <c r="G328" i="35"/>
  <c r="G329" i="35"/>
  <c r="G337" i="35"/>
  <c r="G338" i="35"/>
  <c r="G339" i="35"/>
  <c r="G342" i="35"/>
  <c r="G345" i="35"/>
  <c r="G346" i="35"/>
  <c r="G347" i="35"/>
  <c r="G348" i="35"/>
  <c r="G349" i="35"/>
  <c r="G350" i="35"/>
  <c r="E294" i="47"/>
  <c r="F3" i="35"/>
  <c r="F4" i="35"/>
  <c r="F5" i="35"/>
  <c r="F6" i="35"/>
  <c r="F8" i="35"/>
  <c r="F9" i="35"/>
  <c r="F10" i="35"/>
  <c r="F29" i="35"/>
  <c r="F31" i="35"/>
  <c r="F32" i="35"/>
  <c r="F33" i="35"/>
  <c r="F34" i="35"/>
  <c r="F37" i="35"/>
  <c r="F38" i="35"/>
  <c r="F39" i="35"/>
  <c r="F40" i="35"/>
  <c r="F41" i="35"/>
  <c r="F42" i="35"/>
  <c r="F43" i="35"/>
  <c r="F44" i="35"/>
  <c r="F45" i="35"/>
  <c r="F46" i="35"/>
  <c r="F47" i="35"/>
  <c r="F49" i="35"/>
  <c r="F50" i="35"/>
  <c r="F51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7" i="35"/>
  <c r="F90" i="35"/>
  <c r="F91" i="35"/>
  <c r="F92" i="35"/>
  <c r="F93" i="35"/>
  <c r="F94" i="35"/>
  <c r="F96" i="35"/>
  <c r="F97" i="35"/>
  <c r="F98" i="35"/>
  <c r="F99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1" i="35"/>
  <c r="F202" i="35"/>
  <c r="F203" i="35"/>
  <c r="F204" i="35"/>
  <c r="F205" i="35"/>
  <c r="F206" i="35"/>
  <c r="F207" i="35"/>
  <c r="F208" i="35"/>
  <c r="F209" i="35"/>
  <c r="F210" i="35"/>
  <c r="F211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2" i="35"/>
  <c r="F233" i="35"/>
  <c r="F234" i="35"/>
  <c r="F235" i="35"/>
  <c r="F241" i="35"/>
  <c r="F242" i="35"/>
  <c r="F243" i="35"/>
  <c r="F244" i="35"/>
  <c r="F245" i="35"/>
  <c r="F247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2" i="35"/>
  <c r="F263" i="35"/>
  <c r="F264" i="35"/>
  <c r="F265" i="35"/>
  <c r="F266" i="35"/>
  <c r="F267" i="35"/>
  <c r="F268" i="35"/>
  <c r="F269" i="35"/>
  <c r="F270" i="35"/>
  <c r="F271" i="35"/>
  <c r="F272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5" i="35"/>
  <c r="F296" i="35"/>
  <c r="F297" i="35"/>
  <c r="F298" i="35"/>
  <c r="F299" i="35"/>
  <c r="F300" i="35"/>
  <c r="F301" i="35"/>
  <c r="F302" i="35"/>
  <c r="F303" i="35"/>
  <c r="F304" i="35"/>
  <c r="F305" i="35"/>
  <c r="F306" i="35"/>
  <c r="F307" i="35"/>
  <c r="F308" i="35"/>
  <c r="F309" i="35"/>
  <c r="F310" i="35"/>
  <c r="F311" i="35"/>
  <c r="F312" i="35"/>
  <c r="F313" i="35"/>
  <c r="F314" i="35"/>
  <c r="F316" i="35"/>
  <c r="F317" i="35"/>
  <c r="F318" i="35"/>
  <c r="F319" i="35"/>
  <c r="F320" i="35"/>
  <c r="F321" i="35"/>
  <c r="F323" i="35"/>
  <c r="F324" i="35"/>
  <c r="F325" i="35"/>
  <c r="F326" i="35"/>
  <c r="F327" i="35"/>
  <c r="F328" i="35"/>
  <c r="F329" i="35"/>
  <c r="F339" i="35"/>
  <c r="F342" i="35"/>
  <c r="F345" i="35"/>
  <c r="F346" i="35"/>
  <c r="F347" i="35"/>
  <c r="F348" i="35"/>
  <c r="F349" i="35"/>
  <c r="F350" i="35"/>
  <c r="O287" i="42" l="1"/>
  <c r="O140" i="42"/>
  <c r="O210" i="42"/>
  <c r="O343" i="47"/>
  <c r="O336" i="47" s="1"/>
  <c r="P341" i="47" s="1"/>
  <c r="N362" i="47"/>
  <c r="C2" i="39"/>
  <c r="D3" i="39"/>
  <c r="O319" i="42"/>
  <c r="O262" i="42"/>
  <c r="H337" i="44"/>
  <c r="C2" i="44"/>
  <c r="D20" i="45"/>
  <c r="D23" i="45"/>
  <c r="D21" i="45"/>
  <c r="D24" i="45"/>
  <c r="D18" i="45"/>
  <c r="D13" i="45"/>
  <c r="D15" i="45"/>
  <c r="C331" i="45"/>
  <c r="D19" i="45"/>
  <c r="H337" i="41"/>
  <c r="H361" i="41" s="1"/>
  <c r="C2" i="41"/>
  <c r="O260" i="43"/>
  <c r="P260" i="43" s="1"/>
  <c r="R260" i="43" s="1"/>
  <c r="H337" i="40"/>
  <c r="H361" i="40" s="1"/>
  <c r="C2" i="40"/>
  <c r="O58" i="43"/>
  <c r="O130" i="43"/>
  <c r="J35" i="47"/>
  <c r="J35" i="46"/>
  <c r="O35" i="46" s="1"/>
  <c r="J36" i="47"/>
  <c r="J36" i="46"/>
  <c r="O36" i="46" s="1"/>
  <c r="J35" i="43"/>
  <c r="O35" i="43" s="1"/>
  <c r="O59" i="43"/>
  <c r="H337" i="39"/>
  <c r="O307" i="43"/>
  <c r="O179" i="42"/>
  <c r="O61" i="42"/>
  <c r="O250" i="42"/>
  <c r="P250" i="42" s="1"/>
  <c r="R250" i="42" s="1"/>
  <c r="O281" i="42"/>
  <c r="O158" i="42"/>
  <c r="O83" i="42"/>
  <c r="O77" i="42"/>
  <c r="O71" i="42"/>
  <c r="O64" i="42"/>
  <c r="O38" i="42"/>
  <c r="P38" i="42" s="1"/>
  <c r="O99" i="42"/>
  <c r="O242" i="42"/>
  <c r="O206" i="42"/>
  <c r="O180" i="42"/>
  <c r="O155" i="42"/>
  <c r="O142" i="42"/>
  <c r="O129" i="42"/>
  <c r="O230" i="42"/>
  <c r="O166" i="42"/>
  <c r="O55" i="42"/>
  <c r="O47" i="42"/>
  <c r="P47" i="42" s="1"/>
  <c r="R47" i="42" s="1"/>
  <c r="O317" i="42"/>
  <c r="O310" i="42"/>
  <c r="O266" i="42"/>
  <c r="P266" i="42" s="1"/>
  <c r="O217" i="42"/>
  <c r="O204" i="42"/>
  <c r="O197" i="42"/>
  <c r="O191" i="42"/>
  <c r="O185" i="42"/>
  <c r="O172" i="42"/>
  <c r="O165" i="42"/>
  <c r="O68" i="42"/>
  <c r="O62" i="42"/>
  <c r="O56" i="42"/>
  <c r="O244" i="42"/>
  <c r="P244" i="42" s="1"/>
  <c r="R244" i="42" s="1"/>
  <c r="O221" i="42"/>
  <c r="O125" i="42"/>
  <c r="O119" i="42"/>
  <c r="O94" i="42"/>
  <c r="O59" i="42"/>
  <c r="O39" i="42"/>
  <c r="P39" i="42" s="1"/>
  <c r="O269" i="42"/>
  <c r="O263" i="42"/>
  <c r="P263" i="42" s="1"/>
  <c r="R263" i="42" s="1"/>
  <c r="O233" i="42"/>
  <c r="O220" i="42"/>
  <c r="O214" i="42"/>
  <c r="O194" i="42"/>
  <c r="O188" i="42"/>
  <c r="O130" i="42"/>
  <c r="O65" i="42"/>
  <c r="O44" i="42"/>
  <c r="P44" i="42" s="1"/>
  <c r="O62" i="43"/>
  <c r="O144" i="43"/>
  <c r="O125" i="43"/>
  <c r="O119" i="43"/>
  <c r="O180" i="43"/>
  <c r="O71" i="43"/>
  <c r="O137" i="43"/>
  <c r="O118" i="43"/>
  <c r="O112" i="43"/>
  <c r="O253" i="43"/>
  <c r="P253" i="43" s="1"/>
  <c r="R253" i="43" s="1"/>
  <c r="O247" i="43"/>
  <c r="P247" i="43" s="1"/>
  <c r="R247" i="43" s="1"/>
  <c r="O128" i="43"/>
  <c r="O63" i="43"/>
  <c r="O143" i="43"/>
  <c r="O67" i="43"/>
  <c r="O44" i="43"/>
  <c r="P44" i="43" s="1"/>
  <c r="O257" i="42"/>
  <c r="P257" i="42" s="1"/>
  <c r="R257" i="42" s="1"/>
  <c r="O251" i="42"/>
  <c r="O73" i="42"/>
  <c r="I3" i="43"/>
  <c r="O3" i="43" s="1"/>
  <c r="O313" i="42"/>
  <c r="O307" i="42"/>
  <c r="O301" i="42"/>
  <c r="O295" i="42"/>
  <c r="O256" i="42"/>
  <c r="P256" i="42" s="1"/>
  <c r="R256" i="42" s="1"/>
  <c r="O226" i="42"/>
  <c r="O124" i="42"/>
  <c r="O93" i="42"/>
  <c r="O58" i="42"/>
  <c r="O259" i="42"/>
  <c r="P259" i="42" s="1"/>
  <c r="R259" i="42" s="1"/>
  <c r="O223" i="42"/>
  <c r="O115" i="42"/>
  <c r="O96" i="42"/>
  <c r="O90" i="42"/>
  <c r="O42" i="42"/>
  <c r="P42" i="42" s="1"/>
  <c r="O29" i="42"/>
  <c r="O292" i="42"/>
  <c r="O260" i="42"/>
  <c r="P260" i="42" s="1"/>
  <c r="R260" i="42" s="1"/>
  <c r="O224" i="42"/>
  <c r="O173" i="42"/>
  <c r="O160" i="42"/>
  <c r="O154" i="42"/>
  <c r="O148" i="42"/>
  <c r="O135" i="42"/>
  <c r="O116" i="42"/>
  <c r="O110" i="42"/>
  <c r="O323" i="42"/>
  <c r="O316" i="42"/>
  <c r="O303" i="42"/>
  <c r="O284" i="42"/>
  <c r="O245" i="42"/>
  <c r="P245" i="42" s="1"/>
  <c r="R245" i="42" s="1"/>
  <c r="O209" i="42"/>
  <c r="O203" i="42"/>
  <c r="O196" i="42"/>
  <c r="O184" i="42"/>
  <c r="O177" i="42"/>
  <c r="O146" i="42"/>
  <c r="O139" i="42"/>
  <c r="O74" i="42"/>
  <c r="O67" i="42"/>
  <c r="O46" i="42"/>
  <c r="P46" i="42" s="1"/>
  <c r="R46" i="42" s="1"/>
  <c r="D9" i="45"/>
  <c r="O196" i="43"/>
  <c r="O126" i="43"/>
  <c r="O80" i="43"/>
  <c r="O136" i="43"/>
  <c r="O49" i="42"/>
  <c r="O50" i="42"/>
  <c r="P50" i="42" s="1"/>
  <c r="R50" i="42" s="1"/>
  <c r="O188" i="43"/>
  <c r="O72" i="43"/>
  <c r="O280" i="43"/>
  <c r="O244" i="43"/>
  <c r="P244" i="43" s="1"/>
  <c r="R244" i="43" s="1"/>
  <c r="O222" i="43"/>
  <c r="O61" i="43"/>
  <c r="O277" i="43"/>
  <c r="O255" i="43"/>
  <c r="J8" i="43"/>
  <c r="O246" i="43"/>
  <c r="P246" i="43" s="1"/>
  <c r="R246" i="43" s="1"/>
  <c r="O250" i="43"/>
  <c r="P250" i="43" s="1"/>
  <c r="R250" i="43" s="1"/>
  <c r="O141" i="43"/>
  <c r="O218" i="43"/>
  <c r="O192" i="43"/>
  <c r="O186" i="43"/>
  <c r="O241" i="43"/>
  <c r="P241" i="43" s="1"/>
  <c r="R241" i="43" s="1"/>
  <c r="O46" i="43"/>
  <c r="P46" i="43" s="1"/>
  <c r="R46" i="43" s="1"/>
  <c r="O321" i="43"/>
  <c r="O293" i="43"/>
  <c r="O65" i="43"/>
  <c r="O66" i="43"/>
  <c r="O292" i="43"/>
  <c r="O251" i="43"/>
  <c r="P251" i="43" s="1"/>
  <c r="R251" i="43" s="1"/>
  <c r="O221" i="43"/>
  <c r="O276" i="43"/>
  <c r="O249" i="43"/>
  <c r="P249" i="43" s="1"/>
  <c r="R249" i="43" s="1"/>
  <c r="O106" i="43"/>
  <c r="O38" i="43"/>
  <c r="O271" i="43"/>
  <c r="P271" i="43" s="1"/>
  <c r="O214" i="43"/>
  <c r="O99" i="43"/>
  <c r="O68" i="43"/>
  <c r="O39" i="43"/>
  <c r="O108" i="43"/>
  <c r="O172" i="43"/>
  <c r="O76" i="42"/>
  <c r="O80" i="42"/>
  <c r="O298" i="42"/>
  <c r="O215" i="42"/>
  <c r="O164" i="42"/>
  <c r="O133" i="42"/>
  <c r="O151" i="42"/>
  <c r="O208" i="42"/>
  <c r="O171" i="42"/>
  <c r="O79" i="42"/>
  <c r="O254" i="42"/>
  <c r="O252" i="42"/>
  <c r="O328" i="42"/>
  <c r="P328" i="42" s="1"/>
  <c r="R328" i="42" s="1"/>
  <c r="O283" i="42"/>
  <c r="O277" i="42"/>
  <c r="O270" i="42"/>
  <c r="O264" i="42"/>
  <c r="P264" i="42" s="1"/>
  <c r="O132" i="42"/>
  <c r="O325" i="42"/>
  <c r="O247" i="42"/>
  <c r="P247" i="42" s="1"/>
  <c r="R247" i="42" s="1"/>
  <c r="O286" i="42"/>
  <c r="O280" i="42"/>
  <c r="O241" i="42"/>
  <c r="P241" i="42" s="1"/>
  <c r="R241" i="42" s="1"/>
  <c r="O211" i="42"/>
  <c r="O141" i="42"/>
  <c r="O43" i="42"/>
  <c r="P43" i="42" s="1"/>
  <c r="O37" i="42"/>
  <c r="P37" i="42" s="1"/>
  <c r="O271" i="42"/>
  <c r="P271" i="42" s="1"/>
  <c r="O265" i="42"/>
  <c r="P265" i="42" s="1"/>
  <c r="O324" i="42"/>
  <c r="O291" i="42"/>
  <c r="O66" i="42"/>
  <c r="O329" i="42"/>
  <c r="P329" i="42" s="1"/>
  <c r="R329" i="42" s="1"/>
  <c r="O216" i="42"/>
  <c r="O327" i="42"/>
  <c r="P327" i="42" s="1"/>
  <c r="R327" i="42" s="1"/>
  <c r="O320" i="42"/>
  <c r="O84" i="42"/>
  <c r="O321" i="42"/>
  <c r="O227" i="42"/>
  <c r="O144" i="42"/>
  <c r="O255" i="42"/>
  <c r="O207" i="42"/>
  <c r="O45" i="42"/>
  <c r="P45" i="42" s="1"/>
  <c r="R45" i="42" s="1"/>
  <c r="O305" i="42"/>
  <c r="O186" i="42"/>
  <c r="O91" i="42"/>
  <c r="O82" i="42"/>
  <c r="O69" i="42"/>
  <c r="O63" i="42"/>
  <c r="O326" i="42"/>
  <c r="P326" i="42" s="1"/>
  <c r="R326" i="42" s="1"/>
  <c r="O249" i="42"/>
  <c r="P249" i="42" s="1"/>
  <c r="R249" i="42" s="1"/>
  <c r="O219" i="42"/>
  <c r="O213" i="42"/>
  <c r="O199" i="42"/>
  <c r="O174" i="42"/>
  <c r="O149" i="42"/>
  <c r="O136" i="42"/>
  <c r="O98" i="42"/>
  <c r="O178" i="42"/>
  <c r="D12" i="45"/>
  <c r="D11" i="45"/>
  <c r="O102" i="43"/>
  <c r="O101" i="43"/>
  <c r="O326" i="43"/>
  <c r="P326" i="43" s="1"/>
  <c r="R326" i="43" s="1"/>
  <c r="O181" i="43"/>
  <c r="O113" i="43"/>
  <c r="O76" i="43"/>
  <c r="O57" i="43"/>
  <c r="O53" i="43"/>
  <c r="O254" i="43"/>
  <c r="O259" i="43"/>
  <c r="P259" i="43" s="1"/>
  <c r="R259" i="43" s="1"/>
  <c r="O257" i="43"/>
  <c r="O256" i="43"/>
  <c r="P256" i="43" s="1"/>
  <c r="R256" i="43" s="1"/>
  <c r="O30" i="43"/>
  <c r="O235" i="42"/>
  <c r="O181" i="42"/>
  <c r="O158" i="43"/>
  <c r="O107" i="43"/>
  <c r="O202" i="43"/>
  <c r="O55" i="43"/>
  <c r="O34" i="43"/>
  <c r="O161" i="42"/>
  <c r="O168" i="42"/>
  <c r="G8" i="35"/>
  <c r="O127" i="42"/>
  <c r="O126" i="42"/>
  <c r="O268" i="42"/>
  <c r="O302" i="42"/>
  <c r="O299" i="42"/>
  <c r="O202" i="42"/>
  <c r="O183" i="42"/>
  <c r="O170" i="42"/>
  <c r="O113" i="42"/>
  <c r="O107" i="42"/>
  <c r="O101" i="42"/>
  <c r="O118" i="42"/>
  <c r="O112" i="42"/>
  <c r="O34" i="42"/>
  <c r="O32" i="42"/>
  <c r="O50" i="43"/>
  <c r="P50" i="43" s="1"/>
  <c r="R50" i="43" s="1"/>
  <c r="L231" i="47"/>
  <c r="L231" i="46"/>
  <c r="O215" i="43"/>
  <c r="O297" i="43"/>
  <c r="O298" i="43"/>
  <c r="O227" i="43"/>
  <c r="K228" i="43"/>
  <c r="O228" i="43" s="1"/>
  <c r="K231" i="46"/>
  <c r="K231" i="47"/>
  <c r="O160" i="43"/>
  <c r="O54" i="43"/>
  <c r="O41" i="43"/>
  <c r="P41" i="43" s="1"/>
  <c r="J60" i="46"/>
  <c r="O60" i="46" s="1"/>
  <c r="J60" i="47"/>
  <c r="O314" i="43"/>
  <c r="O313" i="43"/>
  <c r="J248" i="47"/>
  <c r="J248" i="46"/>
  <c r="O229" i="43"/>
  <c r="O232" i="43"/>
  <c r="J231" i="47"/>
  <c r="J231" i="46"/>
  <c r="J231" i="43"/>
  <c r="O94" i="43"/>
  <c r="J48" i="47"/>
  <c r="J48" i="46"/>
  <c r="J48" i="43"/>
  <c r="O29" i="43"/>
  <c r="O42" i="43"/>
  <c r="P42" i="43" s="1"/>
  <c r="O301" i="43"/>
  <c r="O300" i="43"/>
  <c r="O306" i="43"/>
  <c r="I248" i="46"/>
  <c r="I248" i="47"/>
  <c r="I6" i="43"/>
  <c r="O6" i="43" s="1"/>
  <c r="O309" i="42"/>
  <c r="O201" i="42"/>
  <c r="O106" i="42"/>
  <c r="O53" i="42"/>
  <c r="O33" i="42"/>
  <c r="O41" i="42"/>
  <c r="P41" i="42" s="1"/>
  <c r="O314" i="42"/>
  <c r="O290" i="42"/>
  <c r="O278" i="42"/>
  <c r="O293" i="42"/>
  <c r="O232" i="42"/>
  <c r="O51" i="42"/>
  <c r="O304" i="42"/>
  <c r="O276" i="42"/>
  <c r="O282" i="42"/>
  <c r="O225" i="42"/>
  <c r="O229" i="42"/>
  <c r="O234" i="42"/>
  <c r="O120" i="42"/>
  <c r="O102" i="42"/>
  <c r="O72" i="42"/>
  <c r="O54" i="42"/>
  <c r="O57" i="42"/>
  <c r="I15" i="46"/>
  <c r="I15" i="47"/>
  <c r="J12" i="47"/>
  <c r="J12" i="46"/>
  <c r="J15" i="46"/>
  <c r="J15" i="47"/>
  <c r="K13" i="46"/>
  <c r="K13" i="47"/>
  <c r="K16" i="47"/>
  <c r="K16" i="46"/>
  <c r="J12" i="43"/>
  <c r="L13" i="46"/>
  <c r="L13" i="47"/>
  <c r="I13" i="46"/>
  <c r="I13" i="47"/>
  <c r="L11" i="47"/>
  <c r="L11" i="46"/>
  <c r="L16" i="47"/>
  <c r="L16" i="46"/>
  <c r="I11" i="46"/>
  <c r="O11" i="46" s="1"/>
  <c r="I11" i="47"/>
  <c r="J13" i="46"/>
  <c r="J13" i="47"/>
  <c r="J16" i="47"/>
  <c r="J16" i="46"/>
  <c r="K11" i="47"/>
  <c r="K11" i="46"/>
  <c r="K14" i="46"/>
  <c r="K14" i="47"/>
  <c r="K17" i="46"/>
  <c r="I15" i="43"/>
  <c r="O15" i="43" s="1"/>
  <c r="J16" i="43"/>
  <c r="L14" i="47"/>
  <c r="L14" i="46"/>
  <c r="I16" i="47"/>
  <c r="I16" i="46"/>
  <c r="J15" i="43"/>
  <c r="L12" i="47"/>
  <c r="L12" i="46"/>
  <c r="I14" i="46"/>
  <c r="I14" i="47"/>
  <c r="J11" i="47"/>
  <c r="J11" i="46"/>
  <c r="J14" i="46"/>
  <c r="J14" i="47"/>
  <c r="J17" i="46"/>
  <c r="K12" i="47"/>
  <c r="K12" i="46"/>
  <c r="K15" i="47"/>
  <c r="K15" i="46"/>
  <c r="I13" i="43"/>
  <c r="O13" i="43" s="1"/>
  <c r="J14" i="43"/>
  <c r="L17" i="46"/>
  <c r="I12" i="46"/>
  <c r="O12" i="46" s="1"/>
  <c r="I12" i="47"/>
  <c r="I17" i="46"/>
  <c r="I12" i="43"/>
  <c r="O12" i="43" s="1"/>
  <c r="J13" i="43"/>
  <c r="L15" i="47"/>
  <c r="L15" i="46"/>
  <c r="M330" i="47"/>
  <c r="M330" i="46"/>
  <c r="M238" i="47"/>
  <c r="M238" i="46"/>
  <c r="M86" i="46"/>
  <c r="M85" i="46"/>
  <c r="M85" i="47"/>
  <c r="L336" i="47"/>
  <c r="L336" i="46"/>
  <c r="M2" i="46"/>
  <c r="M2" i="47"/>
  <c r="L322" i="47"/>
  <c r="L322" i="46"/>
  <c r="L315" i="47"/>
  <c r="L315" i="46"/>
  <c r="L212" i="46"/>
  <c r="L212" i="47"/>
  <c r="L167" i="47"/>
  <c r="L167" i="46"/>
  <c r="L145" i="47"/>
  <c r="L145" i="46"/>
  <c r="L100" i="46"/>
  <c r="L100" i="47"/>
  <c r="L88" i="47"/>
  <c r="L88" i="46"/>
  <c r="L52" i="46"/>
  <c r="L52" i="47"/>
  <c r="L7" i="46"/>
  <c r="L7" i="47"/>
  <c r="K336" i="46"/>
  <c r="K336" i="47"/>
  <c r="L6" i="46"/>
  <c r="L6" i="47"/>
  <c r="L3" i="47"/>
  <c r="L3" i="46"/>
  <c r="L5" i="47"/>
  <c r="L5" i="46"/>
  <c r="L10" i="47"/>
  <c r="L10" i="46"/>
  <c r="L4" i="47"/>
  <c r="L4" i="46"/>
  <c r="L9" i="47"/>
  <c r="L9" i="46"/>
  <c r="L8" i="46"/>
  <c r="L8" i="47"/>
  <c r="K322" i="43"/>
  <c r="K322" i="47"/>
  <c r="K322" i="46"/>
  <c r="K312" i="43"/>
  <c r="O312" i="43" s="1"/>
  <c r="K315" i="47"/>
  <c r="K315" i="46"/>
  <c r="K291" i="43"/>
  <c r="O291" i="43" s="1"/>
  <c r="K294" i="46"/>
  <c r="K294" i="47"/>
  <c r="O285" i="43"/>
  <c r="O279" i="43"/>
  <c r="O289" i="43"/>
  <c r="K209" i="43"/>
  <c r="O209" i="43" s="1"/>
  <c r="K212" i="47"/>
  <c r="K212" i="46"/>
  <c r="O210" i="43"/>
  <c r="O203" i="43"/>
  <c r="K164" i="43"/>
  <c r="O164" i="43" s="1"/>
  <c r="K167" i="46"/>
  <c r="K167" i="47"/>
  <c r="K97" i="43"/>
  <c r="O97" i="43" s="1"/>
  <c r="K100" i="46"/>
  <c r="K100" i="47"/>
  <c r="K88" i="43"/>
  <c r="K88" i="47"/>
  <c r="K88" i="46"/>
  <c r="K70" i="43"/>
  <c r="K70" i="47"/>
  <c r="K70" i="46"/>
  <c r="K52" i="46"/>
  <c r="K52" i="47"/>
  <c r="K45" i="43"/>
  <c r="O45" i="43" s="1"/>
  <c r="P45" i="43" s="1"/>
  <c r="R45" i="43" s="1"/>
  <c r="K48" i="47"/>
  <c r="K48" i="46"/>
  <c r="K10" i="47"/>
  <c r="K10" i="46"/>
  <c r="K4" i="47"/>
  <c r="K4" i="46"/>
  <c r="J336" i="43"/>
  <c r="J336" i="46"/>
  <c r="J336" i="47"/>
  <c r="K9" i="47"/>
  <c r="K9" i="46"/>
  <c r="K8" i="46"/>
  <c r="K8" i="47"/>
  <c r="K7" i="46"/>
  <c r="K7" i="47"/>
  <c r="K6" i="47"/>
  <c r="K6" i="46"/>
  <c r="K3" i="47"/>
  <c r="K3" i="46"/>
  <c r="K5" i="47"/>
  <c r="K5" i="46"/>
  <c r="J322" i="43"/>
  <c r="J322" i="47"/>
  <c r="J322" i="46"/>
  <c r="J315" i="43"/>
  <c r="J315" i="47"/>
  <c r="J315" i="46"/>
  <c r="O316" i="43"/>
  <c r="J294" i="47"/>
  <c r="J294" i="46"/>
  <c r="O274" i="43"/>
  <c r="O287" i="43"/>
  <c r="J212" i="43"/>
  <c r="J212" i="47"/>
  <c r="J212" i="46"/>
  <c r="O225" i="43"/>
  <c r="J200" i="43"/>
  <c r="J200" i="47"/>
  <c r="J200" i="46"/>
  <c r="O195" i="43"/>
  <c r="O189" i="43"/>
  <c r="O183" i="43"/>
  <c r="J167" i="43"/>
  <c r="J167" i="47"/>
  <c r="J167" i="46"/>
  <c r="J131" i="43"/>
  <c r="J131" i="46"/>
  <c r="J131" i="47"/>
  <c r="J100" i="43"/>
  <c r="J100" i="46"/>
  <c r="J100" i="47"/>
  <c r="J88" i="43"/>
  <c r="J88" i="47"/>
  <c r="J88" i="46"/>
  <c r="J70" i="43"/>
  <c r="J70" i="47"/>
  <c r="J70" i="46"/>
  <c r="O74" i="43"/>
  <c r="J52" i="43"/>
  <c r="J52" i="47"/>
  <c r="J52" i="46"/>
  <c r="J6" i="43"/>
  <c r="J6" i="47"/>
  <c r="J6" i="46"/>
  <c r="I336" i="46"/>
  <c r="I336" i="47"/>
  <c r="J3" i="43"/>
  <c r="J3" i="47"/>
  <c r="J3" i="46"/>
  <c r="J5" i="46"/>
  <c r="J5" i="47"/>
  <c r="J10" i="43"/>
  <c r="J10" i="46"/>
  <c r="J10" i="47"/>
  <c r="J4" i="43"/>
  <c r="J4" i="46"/>
  <c r="J4" i="47"/>
  <c r="J9" i="47"/>
  <c r="J9" i="46"/>
  <c r="J8" i="47"/>
  <c r="J8" i="46"/>
  <c r="J7" i="43"/>
  <c r="J7" i="47"/>
  <c r="J7" i="46"/>
  <c r="O323" i="43"/>
  <c r="I322" i="47"/>
  <c r="I322" i="46"/>
  <c r="I322" i="43"/>
  <c r="I315" i="47"/>
  <c r="I315" i="46"/>
  <c r="O317" i="43"/>
  <c r="I315" i="43"/>
  <c r="O310" i="43"/>
  <c r="O304" i="43"/>
  <c r="O295" i="43"/>
  <c r="O303" i="43"/>
  <c r="I294" i="47"/>
  <c r="I294" i="46"/>
  <c r="O309" i="43"/>
  <c r="O311" i="43"/>
  <c r="O305" i="43"/>
  <c r="O283" i="43"/>
  <c r="O286" i="43"/>
  <c r="O278" i="43"/>
  <c r="O284" i="43"/>
  <c r="O267" i="43"/>
  <c r="O264" i="43"/>
  <c r="O269" i="43"/>
  <c r="O263" i="43"/>
  <c r="O268" i="43"/>
  <c r="I238" i="43"/>
  <c r="I239" i="46"/>
  <c r="I239" i="47"/>
  <c r="O217" i="43"/>
  <c r="I212" i="46"/>
  <c r="I212" i="47"/>
  <c r="O226" i="43"/>
  <c r="O224" i="43"/>
  <c r="O205" i="43"/>
  <c r="O208" i="43"/>
  <c r="O207" i="43"/>
  <c r="O206" i="43"/>
  <c r="O204" i="43"/>
  <c r="O198" i="43"/>
  <c r="O191" i="43"/>
  <c r="O184" i="43"/>
  <c r="O194" i="43"/>
  <c r="I167" i="46"/>
  <c r="I167" i="47"/>
  <c r="O171" i="43"/>
  <c r="I167" i="43"/>
  <c r="O175" i="43"/>
  <c r="O169" i="43"/>
  <c r="O173" i="43"/>
  <c r="O174" i="43"/>
  <c r="O168" i="43"/>
  <c r="O148" i="43"/>
  <c r="O139" i="43"/>
  <c r="O133" i="43"/>
  <c r="I131" i="46"/>
  <c r="I131" i="47"/>
  <c r="O138" i="43"/>
  <c r="O132" i="43"/>
  <c r="I131" i="43"/>
  <c r="O135" i="43"/>
  <c r="O134" i="43"/>
  <c r="O116" i="43"/>
  <c r="O110" i="43"/>
  <c r="O104" i="43"/>
  <c r="O121" i="43"/>
  <c r="O115" i="43"/>
  <c r="O109" i="43"/>
  <c r="O103" i="43"/>
  <c r="O120" i="43"/>
  <c r="I100" i="47"/>
  <c r="I100" i="46"/>
  <c r="O105" i="43"/>
  <c r="O122" i="43"/>
  <c r="O96" i="43"/>
  <c r="O90" i="43"/>
  <c r="I88" i="47"/>
  <c r="I88" i="46"/>
  <c r="I88" i="43"/>
  <c r="O93" i="43"/>
  <c r="O92" i="43"/>
  <c r="I70" i="46"/>
  <c r="I70" i="47"/>
  <c r="I70" i="43"/>
  <c r="O79" i="43"/>
  <c r="O56" i="43"/>
  <c r="I52" i="47"/>
  <c r="I52" i="46"/>
  <c r="I52" i="43"/>
  <c r="O49" i="43"/>
  <c r="I27" i="43"/>
  <c r="I48" i="46"/>
  <c r="I48" i="47"/>
  <c r="O37" i="43"/>
  <c r="I10" i="47"/>
  <c r="I10" i="46"/>
  <c r="O10" i="46" s="1"/>
  <c r="I8" i="47"/>
  <c r="I8" i="46"/>
  <c r="I7" i="43"/>
  <c r="O7" i="43" s="1"/>
  <c r="I7" i="47"/>
  <c r="I7" i="46"/>
  <c r="O7" i="46" s="1"/>
  <c r="I6" i="46"/>
  <c r="O6" i="46" s="1"/>
  <c r="I6" i="47"/>
  <c r="I3" i="47"/>
  <c r="I3" i="46"/>
  <c r="O3" i="46" s="1"/>
  <c r="P3" i="46" s="1"/>
  <c r="I5" i="46"/>
  <c r="O5" i="46" s="1"/>
  <c r="I5" i="47"/>
  <c r="I4" i="47"/>
  <c r="I4" i="46"/>
  <c r="O4" i="46" s="1"/>
  <c r="I9" i="47"/>
  <c r="I9" i="46"/>
  <c r="O9" i="46" s="1"/>
  <c r="O312" i="42"/>
  <c r="O306" i="42"/>
  <c r="O300" i="42"/>
  <c r="O289" i="42"/>
  <c r="O218" i="42"/>
  <c r="G10" i="35"/>
  <c r="G10" i="47"/>
  <c r="G10" i="42"/>
  <c r="G8" i="42"/>
  <c r="O318" i="42"/>
  <c r="O311" i="42"/>
  <c r="O297" i="42"/>
  <c r="O308" i="42"/>
  <c r="O296" i="42"/>
  <c r="O275" i="42"/>
  <c r="O274" i="42"/>
  <c r="O285" i="42"/>
  <c r="O279" i="42"/>
  <c r="O267" i="42"/>
  <c r="P267" i="42" s="1"/>
  <c r="O253" i="42"/>
  <c r="O243" i="42"/>
  <c r="P243" i="42" s="1"/>
  <c r="O228" i="42"/>
  <c r="O222" i="42"/>
  <c r="O205" i="42"/>
  <c r="O193" i="42"/>
  <c r="O187" i="42"/>
  <c r="O195" i="42"/>
  <c r="O189" i="42"/>
  <c r="O198" i="42"/>
  <c r="O192" i="42"/>
  <c r="O175" i="42"/>
  <c r="O169" i="42"/>
  <c r="O176" i="42"/>
  <c r="O163" i="42"/>
  <c r="O157" i="42"/>
  <c r="O150" i="42"/>
  <c r="O159" i="42"/>
  <c r="O153" i="42"/>
  <c r="O147" i="42"/>
  <c r="O162" i="42"/>
  <c r="O156" i="42"/>
  <c r="O138" i="42"/>
  <c r="O134" i="42"/>
  <c r="O121" i="42"/>
  <c r="O114" i="42"/>
  <c r="O108" i="42"/>
  <c r="O122" i="42"/>
  <c r="O104" i="42"/>
  <c r="O111" i="42"/>
  <c r="O105" i="42"/>
  <c r="O97" i="42"/>
  <c r="O92" i="42"/>
  <c r="O81" i="42"/>
  <c r="O75" i="42"/>
  <c r="O78" i="42"/>
  <c r="O190" i="42"/>
  <c r="O31" i="42"/>
  <c r="S124" i="47"/>
  <c r="M236" i="46"/>
  <c r="M236" i="47"/>
  <c r="L131" i="47"/>
  <c r="L131" i="46"/>
  <c r="L248" i="47"/>
  <c r="L248" i="46"/>
  <c r="L294" i="47"/>
  <c r="L294" i="46"/>
  <c r="L239" i="46"/>
  <c r="L239" i="47"/>
  <c r="K197" i="43"/>
  <c r="O197" i="43" s="1"/>
  <c r="K200" i="47"/>
  <c r="K200" i="46"/>
  <c r="J261" i="43"/>
  <c r="J261" i="47"/>
  <c r="J261" i="46"/>
  <c r="K258" i="43"/>
  <c r="O258" i="43" s="1"/>
  <c r="K261" i="47"/>
  <c r="K261" i="46"/>
  <c r="K248" i="46"/>
  <c r="K248" i="47"/>
  <c r="K270" i="43"/>
  <c r="O270" i="43" s="1"/>
  <c r="K273" i="47"/>
  <c r="K273" i="46"/>
  <c r="O290" i="43"/>
  <c r="J273" i="46"/>
  <c r="J273" i="47"/>
  <c r="I261" i="47"/>
  <c r="I261" i="46"/>
  <c r="I273" i="46"/>
  <c r="I273" i="47"/>
  <c r="O288" i="42"/>
  <c r="K239" i="46"/>
  <c r="K239" i="47"/>
  <c r="K131" i="43"/>
  <c r="K131" i="47"/>
  <c r="K131" i="46"/>
  <c r="L182" i="46"/>
  <c r="L182" i="47"/>
  <c r="K179" i="43"/>
  <c r="O179" i="43" s="1"/>
  <c r="K182" i="47"/>
  <c r="K182" i="46"/>
  <c r="K145" i="43"/>
  <c r="K145" i="47"/>
  <c r="K145" i="46"/>
  <c r="J238" i="43"/>
  <c r="J238" i="47"/>
  <c r="J238" i="46"/>
  <c r="J239" i="47"/>
  <c r="J239" i="46"/>
  <c r="J182" i="46"/>
  <c r="J182" i="47"/>
  <c r="O159" i="43"/>
  <c r="O162" i="43"/>
  <c r="O161" i="43"/>
  <c r="O147" i="43"/>
  <c r="O154" i="43"/>
  <c r="O149" i="43"/>
  <c r="O151" i="43"/>
  <c r="J145" i="43"/>
  <c r="J145" i="46"/>
  <c r="J145" i="47"/>
  <c r="I200" i="46"/>
  <c r="I200" i="47"/>
  <c r="I200" i="43"/>
  <c r="O185" i="43"/>
  <c r="I182" i="47"/>
  <c r="I182" i="46"/>
  <c r="I182" i="43"/>
  <c r="O190" i="43"/>
  <c r="I145" i="43"/>
  <c r="I145" i="46"/>
  <c r="I145" i="47"/>
  <c r="L200" i="47"/>
  <c r="L200" i="46"/>
  <c r="L85" i="47"/>
  <c r="L70" i="47"/>
  <c r="L70" i="46"/>
  <c r="L28" i="46"/>
  <c r="L28" i="47"/>
  <c r="K28" i="43"/>
  <c r="K28" i="46"/>
  <c r="K28" i="47"/>
  <c r="J28" i="43"/>
  <c r="J28" i="47"/>
  <c r="J28" i="46"/>
  <c r="J27" i="47"/>
  <c r="J27" i="46"/>
  <c r="I28" i="46"/>
  <c r="I28" i="47"/>
  <c r="O31" i="43"/>
  <c r="I28" i="43"/>
  <c r="L273" i="46"/>
  <c r="L273" i="47"/>
  <c r="L27" i="47"/>
  <c r="L27" i="46"/>
  <c r="L48" i="47"/>
  <c r="L48" i="46"/>
  <c r="L261" i="46"/>
  <c r="L261" i="47"/>
  <c r="R327" i="46"/>
  <c r="R329" i="46"/>
  <c r="R328" i="46"/>
  <c r="R326" i="46"/>
  <c r="R200" i="46"/>
  <c r="D7" i="45"/>
  <c r="D3" i="45"/>
  <c r="L238" i="47"/>
  <c r="D10" i="45"/>
  <c r="D4" i="45"/>
  <c r="D6" i="45"/>
  <c r="D5" i="45"/>
  <c r="O40" i="42"/>
  <c r="P40" i="42" s="1"/>
  <c r="J9" i="43"/>
  <c r="J5" i="43"/>
  <c r="I336" i="43"/>
  <c r="I9" i="43"/>
  <c r="O9" i="43" s="1"/>
  <c r="O258" i="42"/>
  <c r="K315" i="43"/>
  <c r="K248" i="43"/>
  <c r="O248" i="43" s="1"/>
  <c r="K294" i="43"/>
  <c r="O199" i="43"/>
  <c r="O265" i="43"/>
  <c r="O156" i="43"/>
  <c r="O325" i="43"/>
  <c r="O193" i="43"/>
  <c r="O187" i="43"/>
  <c r="O155" i="43"/>
  <c r="O117" i="43"/>
  <c r="O77" i="43"/>
  <c r="O33" i="43"/>
  <c r="O243" i="43"/>
  <c r="P243" i="43" s="1"/>
  <c r="R243" i="43" s="1"/>
  <c r="O223" i="43"/>
  <c r="O230" i="43"/>
  <c r="O211" i="43"/>
  <c r="O69" i="43"/>
  <c r="K273" i="43"/>
  <c r="K239" i="43"/>
  <c r="K48" i="43"/>
  <c r="O320" i="43"/>
  <c r="O308" i="43"/>
  <c r="O302" i="43"/>
  <c r="O296" i="43"/>
  <c r="O266" i="43"/>
  <c r="P266" i="43" s="1"/>
  <c r="O127" i="43"/>
  <c r="O81" i="43"/>
  <c r="O75" i="43"/>
  <c r="K182" i="43"/>
  <c r="K100" i="43"/>
  <c r="K60" i="43"/>
  <c r="O60" i="43" s="1"/>
  <c r="K14" i="43"/>
  <c r="K200" i="43"/>
  <c r="K52" i="43"/>
  <c r="K8" i="43"/>
  <c r="O176" i="43"/>
  <c r="O170" i="43"/>
  <c r="K231" i="43"/>
  <c r="K212" i="43"/>
  <c r="K167" i="43"/>
  <c r="O178" i="43"/>
  <c r="O43" i="43"/>
  <c r="P43" i="43" s="1"/>
  <c r="K13" i="43"/>
  <c r="K7" i="43"/>
  <c r="O262" i="43"/>
  <c r="O216" i="43"/>
  <c r="O177" i="43"/>
  <c r="O152" i="43"/>
  <c r="O146" i="43"/>
  <c r="O36" i="43"/>
  <c r="K261" i="43"/>
  <c r="K12" i="43"/>
  <c r="K6" i="43"/>
  <c r="K245" i="43"/>
  <c r="O245" i="43" s="1"/>
  <c r="P245" i="43" s="1"/>
  <c r="R245" i="43" s="1"/>
  <c r="O324" i="43"/>
  <c r="O318" i="43"/>
  <c r="O282" i="43"/>
  <c r="O252" i="43"/>
  <c r="O240" i="43"/>
  <c r="O288" i="43"/>
  <c r="K11" i="43"/>
  <c r="K5" i="43"/>
  <c r="O275" i="43"/>
  <c r="O242" i="43"/>
  <c r="O84" i="43"/>
  <c r="O78" i="43"/>
  <c r="K319" i="43"/>
  <c r="O319" i="43" s="1"/>
  <c r="K142" i="43"/>
  <c r="O142" i="43" s="1"/>
  <c r="K16" i="43"/>
  <c r="K10" i="43"/>
  <c r="K4" i="43"/>
  <c r="O299" i="43"/>
  <c r="O219" i="43"/>
  <c r="O213" i="43"/>
  <c r="O98" i="43"/>
  <c r="K15" i="43"/>
  <c r="K9" i="43"/>
  <c r="K3" i="43"/>
  <c r="O165" i="43"/>
  <c r="J294" i="43"/>
  <c r="O281" i="43"/>
  <c r="J273" i="43"/>
  <c r="J239" i="43"/>
  <c r="J182" i="43"/>
  <c r="J27" i="43"/>
  <c r="O51" i="43"/>
  <c r="O73" i="43"/>
  <c r="O32" i="43"/>
  <c r="O95" i="43"/>
  <c r="O47" i="43"/>
  <c r="P47" i="43" s="1"/>
  <c r="O91" i="43"/>
  <c r="O40" i="43"/>
  <c r="O64" i="43"/>
  <c r="O89" i="43"/>
  <c r="O123" i="43"/>
  <c r="O111" i="43"/>
  <c r="O150" i="43"/>
  <c r="O153" i="43"/>
  <c r="O157" i="43"/>
  <c r="O220" i="43"/>
  <c r="O124" i="43"/>
  <c r="O129" i="43"/>
  <c r="O163" i="43"/>
  <c r="O166" i="43"/>
  <c r="O114" i="43"/>
  <c r="O140" i="43"/>
  <c r="O201" i="43"/>
  <c r="O109" i="42"/>
  <c r="O143" i="42"/>
  <c r="O117" i="42"/>
  <c r="O128" i="42"/>
  <c r="O152" i="42"/>
  <c r="O103" i="42"/>
  <c r="O123" i="42"/>
  <c r="O137" i="42"/>
  <c r="D9" i="41"/>
  <c r="C331" i="39"/>
  <c r="D4" i="39" l="1"/>
  <c r="D2" i="39" s="1"/>
  <c r="I2" i="43"/>
  <c r="O2" i="43" s="1"/>
  <c r="M344" i="46"/>
  <c r="O344" i="46" s="1"/>
  <c r="C335" i="45"/>
  <c r="C361" i="45" s="1"/>
  <c r="M340" i="46"/>
  <c r="O340" i="46" s="1"/>
  <c r="D13" i="44"/>
  <c r="D21" i="44"/>
  <c r="D22" i="44"/>
  <c r="D23" i="44"/>
  <c r="D24" i="44"/>
  <c r="D18" i="44"/>
  <c r="D25" i="44"/>
  <c r="D20" i="44"/>
  <c r="D18" i="41"/>
  <c r="D21" i="41"/>
  <c r="D24" i="41"/>
  <c r="D19" i="41"/>
  <c r="D23" i="41"/>
  <c r="D25" i="41"/>
  <c r="D20" i="41"/>
  <c r="P340" i="47"/>
  <c r="P342" i="47"/>
  <c r="P339" i="47"/>
  <c r="P338" i="47"/>
  <c r="M357" i="47"/>
  <c r="M360" i="47"/>
  <c r="M352" i="47"/>
  <c r="P354" i="47"/>
  <c r="P346" i="47"/>
  <c r="P352" i="47"/>
  <c r="P358" i="47"/>
  <c r="P360" i="47"/>
  <c r="P359" i="47"/>
  <c r="P357" i="47"/>
  <c r="P344" i="47"/>
  <c r="P348" i="47"/>
  <c r="P345" i="47"/>
  <c r="P353" i="47"/>
  <c r="P355" i="47"/>
  <c r="P349" i="47"/>
  <c r="P347" i="47"/>
  <c r="P356" i="47"/>
  <c r="P350" i="47"/>
  <c r="P351" i="47"/>
  <c r="P337" i="47"/>
  <c r="P343" i="47"/>
  <c r="D15" i="41"/>
  <c r="D17" i="41"/>
  <c r="C331" i="41"/>
  <c r="K340" i="46" s="1"/>
  <c r="D13" i="41"/>
  <c r="D8" i="41"/>
  <c r="D18" i="40"/>
  <c r="D26" i="40"/>
  <c r="D20" i="40"/>
  <c r="D24" i="40"/>
  <c r="D25" i="40"/>
  <c r="D19" i="40"/>
  <c r="D21" i="40"/>
  <c r="D23" i="40"/>
  <c r="D8" i="40"/>
  <c r="D17" i="40"/>
  <c r="C331" i="44"/>
  <c r="C335" i="44" s="1"/>
  <c r="C361" i="44" s="1"/>
  <c r="D19" i="44"/>
  <c r="D17" i="44"/>
  <c r="K340" i="47"/>
  <c r="K340" i="43"/>
  <c r="O340" i="43" s="1"/>
  <c r="C335" i="41"/>
  <c r="K339" i="47"/>
  <c r="K362" i="47" s="1"/>
  <c r="K339" i="46"/>
  <c r="K339" i="43"/>
  <c r="O339" i="43" s="1"/>
  <c r="O231" i="43"/>
  <c r="C335" i="39"/>
  <c r="I340" i="46"/>
  <c r="I340" i="47"/>
  <c r="I362" i="47" s="1"/>
  <c r="I340" i="43"/>
  <c r="D15" i="44"/>
  <c r="D15" i="40"/>
  <c r="D13" i="40"/>
  <c r="D14" i="40"/>
  <c r="D14" i="44"/>
  <c r="D9" i="40"/>
  <c r="C331" i="40"/>
  <c r="O48" i="43"/>
  <c r="O8" i="46"/>
  <c r="D9" i="44"/>
  <c r="D12" i="41"/>
  <c r="D11" i="41"/>
  <c r="D11" i="40"/>
  <c r="D12" i="40"/>
  <c r="D12" i="44"/>
  <c r="D11" i="44"/>
  <c r="O17" i="46"/>
  <c r="O16" i="46"/>
  <c r="O13" i="46"/>
  <c r="M332" i="46"/>
  <c r="D27" i="45"/>
  <c r="D332" i="45" s="1"/>
  <c r="M332" i="47"/>
  <c r="M86" i="47"/>
  <c r="M237" i="46"/>
  <c r="O212" i="46"/>
  <c r="O231" i="46"/>
  <c r="O167" i="43"/>
  <c r="O52" i="46"/>
  <c r="O315" i="46"/>
  <c r="O322" i="46"/>
  <c r="O261" i="43"/>
  <c r="O212" i="43"/>
  <c r="O100" i="46"/>
  <c r="O100" i="43"/>
  <c r="O88" i="46"/>
  <c r="O52" i="43"/>
  <c r="O294" i="46"/>
  <c r="I238" i="47"/>
  <c r="O200" i="43"/>
  <c r="O131" i="46"/>
  <c r="O131" i="43"/>
  <c r="O88" i="43"/>
  <c r="I238" i="46"/>
  <c r="I27" i="46"/>
  <c r="O14" i="46"/>
  <c r="O15" i="46"/>
  <c r="P258" i="42"/>
  <c r="R258" i="42" s="1"/>
  <c r="M331" i="46"/>
  <c r="M331" i="47"/>
  <c r="L86" i="46"/>
  <c r="D6" i="44"/>
  <c r="L2" i="46"/>
  <c r="L2" i="47"/>
  <c r="O322" i="43"/>
  <c r="O315" i="43"/>
  <c r="O145" i="46"/>
  <c r="O70" i="43"/>
  <c r="K85" i="47"/>
  <c r="K85" i="46"/>
  <c r="O48" i="46"/>
  <c r="D6" i="41"/>
  <c r="K2" i="46"/>
  <c r="K2" i="47"/>
  <c r="O167" i="46"/>
  <c r="O70" i="46"/>
  <c r="J85" i="43"/>
  <c r="J85" i="46"/>
  <c r="J85" i="47"/>
  <c r="J2" i="47"/>
  <c r="J2" i="46"/>
  <c r="I86" i="47"/>
  <c r="I85" i="46"/>
  <c r="I85" i="47"/>
  <c r="I85" i="43"/>
  <c r="I27" i="47"/>
  <c r="I2" i="47"/>
  <c r="I2" i="46"/>
  <c r="O2" i="46" s="1"/>
  <c r="M333" i="46"/>
  <c r="M333" i="47"/>
  <c r="O248" i="46"/>
  <c r="K327" i="43"/>
  <c r="O327" i="43" s="1"/>
  <c r="P327" i="43" s="1"/>
  <c r="R327" i="43" s="1"/>
  <c r="K330" i="46"/>
  <c r="K330" i="47"/>
  <c r="O239" i="46"/>
  <c r="J330" i="43"/>
  <c r="J330" i="46"/>
  <c r="J330" i="47"/>
  <c r="O261" i="46"/>
  <c r="I330" i="47"/>
  <c r="I330" i="46"/>
  <c r="I330" i="43"/>
  <c r="O273" i="46"/>
  <c r="O239" i="43"/>
  <c r="K238" i="46"/>
  <c r="K238" i="47"/>
  <c r="O182" i="46"/>
  <c r="K233" i="43"/>
  <c r="O233" i="43" s="1"/>
  <c r="K236" i="47"/>
  <c r="K236" i="46"/>
  <c r="O145" i="43"/>
  <c r="O28" i="43"/>
  <c r="J236" i="47"/>
  <c r="J236" i="46"/>
  <c r="O200" i="46"/>
  <c r="I236" i="46"/>
  <c r="I236" i="47"/>
  <c r="L236" i="47"/>
  <c r="L236" i="46"/>
  <c r="L85" i="46"/>
  <c r="K27" i="46"/>
  <c r="K27" i="47"/>
  <c r="O28" i="46"/>
  <c r="J86" i="43"/>
  <c r="J86" i="46"/>
  <c r="J86" i="47"/>
  <c r="J332" i="46"/>
  <c r="J332" i="47"/>
  <c r="L330" i="46"/>
  <c r="L330" i="47"/>
  <c r="L238" i="46"/>
  <c r="M334" i="46"/>
  <c r="D7" i="44"/>
  <c r="D2" i="45"/>
  <c r="D10" i="44"/>
  <c r="D4" i="44"/>
  <c r="D5" i="44"/>
  <c r="D3" i="44"/>
  <c r="D7" i="41"/>
  <c r="D7" i="40"/>
  <c r="D10" i="40"/>
  <c r="D4" i="40"/>
  <c r="D10" i="41"/>
  <c r="J2" i="43"/>
  <c r="D3" i="41"/>
  <c r="D5" i="40"/>
  <c r="D3" i="40"/>
  <c r="D6" i="40"/>
  <c r="D4" i="41"/>
  <c r="D5" i="41"/>
  <c r="O294" i="43"/>
  <c r="O273" i="43"/>
  <c r="O182" i="43"/>
  <c r="K82" i="43"/>
  <c r="O82" i="43" s="1"/>
  <c r="K85" i="43"/>
  <c r="K235" i="43"/>
  <c r="O235" i="43" s="1"/>
  <c r="K238" i="43"/>
  <c r="O238" i="43" s="1"/>
  <c r="K2" i="43"/>
  <c r="K27" i="43"/>
  <c r="O27" i="43" s="1"/>
  <c r="K236" i="43"/>
  <c r="I236" i="43"/>
  <c r="K330" i="43"/>
  <c r="J236" i="43"/>
  <c r="J332" i="43"/>
  <c r="R47" i="43"/>
  <c r="R200" i="42"/>
  <c r="D27" i="40"/>
  <c r="D332" i="40" s="1"/>
  <c r="M335" i="46" l="1"/>
  <c r="M362" i="47"/>
  <c r="O336" i="46"/>
  <c r="P343" i="46" s="1"/>
  <c r="P10" i="46"/>
  <c r="P21" i="46"/>
  <c r="P18" i="46"/>
  <c r="P22" i="46"/>
  <c r="P23" i="46"/>
  <c r="P20" i="46"/>
  <c r="P25" i="46"/>
  <c r="P24" i="46"/>
  <c r="P19" i="46"/>
  <c r="D335" i="45"/>
  <c r="D361" i="45"/>
  <c r="D18" i="48"/>
  <c r="H352" i="48"/>
  <c r="N18" i="47"/>
  <c r="N27" i="46"/>
  <c r="O27" i="46" s="1"/>
  <c r="P195" i="46" s="1"/>
  <c r="R195" i="46" s="1"/>
  <c r="C361" i="41"/>
  <c r="D361" i="41" s="1"/>
  <c r="P336" i="47"/>
  <c r="P344" i="46"/>
  <c r="P337" i="46"/>
  <c r="P349" i="46"/>
  <c r="P341" i="46"/>
  <c r="P347" i="46"/>
  <c r="P345" i="46"/>
  <c r="P350" i="46"/>
  <c r="P339" i="46"/>
  <c r="P346" i="46"/>
  <c r="P342" i="46"/>
  <c r="P351" i="46"/>
  <c r="P340" i="46"/>
  <c r="P348" i="46"/>
  <c r="D335" i="41"/>
  <c r="C361" i="39"/>
  <c r="D361" i="39" s="1"/>
  <c r="L340" i="47"/>
  <c r="L362" i="47" s="1"/>
  <c r="L340" i="46"/>
  <c r="L344" i="46"/>
  <c r="D335" i="44"/>
  <c r="D361" i="44"/>
  <c r="P19" i="43"/>
  <c r="P17" i="43"/>
  <c r="P20" i="43"/>
  <c r="P21" i="43"/>
  <c r="P23" i="43"/>
  <c r="P24" i="43"/>
  <c r="P25" i="43"/>
  <c r="P15" i="46"/>
  <c r="K344" i="46"/>
  <c r="K344" i="43"/>
  <c r="O344" i="43" s="1"/>
  <c r="K343" i="46"/>
  <c r="K343" i="43"/>
  <c r="O343" i="43" s="1"/>
  <c r="J340" i="47"/>
  <c r="J340" i="46"/>
  <c r="J340" i="43"/>
  <c r="C335" i="40"/>
  <c r="J341" i="46"/>
  <c r="J341" i="47"/>
  <c r="J341" i="43"/>
  <c r="D335" i="39"/>
  <c r="I344" i="46"/>
  <c r="I344" i="43"/>
  <c r="P8" i="46"/>
  <c r="P16" i="43"/>
  <c r="P8" i="43"/>
  <c r="P14" i="43"/>
  <c r="P13" i="46"/>
  <c r="P17" i="46"/>
  <c r="P13" i="43"/>
  <c r="P15" i="43"/>
  <c r="P14" i="46"/>
  <c r="P16" i="46"/>
  <c r="P3" i="43"/>
  <c r="P9" i="43"/>
  <c r="P10" i="43"/>
  <c r="P4" i="43"/>
  <c r="P7" i="43"/>
  <c r="P6" i="43"/>
  <c r="P5" i="43"/>
  <c r="P12" i="43"/>
  <c r="P11" i="43"/>
  <c r="P5" i="46"/>
  <c r="P9" i="46"/>
  <c r="P12" i="46"/>
  <c r="P11" i="46"/>
  <c r="P7" i="46"/>
  <c r="M237" i="47"/>
  <c r="L86" i="47"/>
  <c r="L237" i="47"/>
  <c r="I332" i="47"/>
  <c r="I332" i="43"/>
  <c r="D27" i="39"/>
  <c r="D332" i="39" s="1"/>
  <c r="I332" i="46"/>
  <c r="I86" i="43"/>
  <c r="P4" i="46"/>
  <c r="P6" i="46"/>
  <c r="L331" i="47"/>
  <c r="L331" i="46"/>
  <c r="K328" i="43"/>
  <c r="O328" i="43" s="1"/>
  <c r="P328" i="43" s="1"/>
  <c r="R328" i="43" s="1"/>
  <c r="K331" i="46"/>
  <c r="K331" i="47"/>
  <c r="O85" i="46"/>
  <c r="J331" i="43"/>
  <c r="J331" i="46"/>
  <c r="J331" i="47"/>
  <c r="I86" i="46"/>
  <c r="O85" i="43"/>
  <c r="P85" i="43" s="1"/>
  <c r="R85" i="43" s="1"/>
  <c r="I331" i="43"/>
  <c r="O331" i="43" s="1"/>
  <c r="I331" i="47"/>
  <c r="I331" i="46"/>
  <c r="O331" i="46" s="1"/>
  <c r="D182" i="47"/>
  <c r="M334" i="47"/>
  <c r="M352" i="46"/>
  <c r="M335" i="47"/>
  <c r="O330" i="46"/>
  <c r="O330" i="43"/>
  <c r="P330" i="43" s="1"/>
  <c r="R330" i="43" s="1"/>
  <c r="O238" i="46"/>
  <c r="K333" i="47"/>
  <c r="K333" i="46"/>
  <c r="J333" i="46"/>
  <c r="J333" i="47"/>
  <c r="I333" i="47"/>
  <c r="I333" i="46"/>
  <c r="O236" i="46"/>
  <c r="K332" i="47"/>
  <c r="K332" i="46"/>
  <c r="K86" i="47"/>
  <c r="K86" i="46"/>
  <c r="J237" i="47"/>
  <c r="J237" i="46"/>
  <c r="L333" i="46"/>
  <c r="L333" i="47"/>
  <c r="L332" i="47"/>
  <c r="L332" i="46"/>
  <c r="L334" i="47"/>
  <c r="D27" i="44"/>
  <c r="D332" i="44" s="1"/>
  <c r="L335" i="47"/>
  <c r="D2" i="44"/>
  <c r="D2" i="40"/>
  <c r="D2" i="41"/>
  <c r="D27" i="41"/>
  <c r="D332" i="41" s="1"/>
  <c r="P97" i="43"/>
  <c r="R97" i="43" s="1"/>
  <c r="P71" i="43"/>
  <c r="R71" i="43" s="1"/>
  <c r="K86" i="43"/>
  <c r="K83" i="43"/>
  <c r="O83" i="43" s="1"/>
  <c r="P83" i="43" s="1"/>
  <c r="R83" i="43" s="1"/>
  <c r="K329" i="43"/>
  <c r="O329" i="43" s="1"/>
  <c r="P329" i="43" s="1"/>
  <c r="R329" i="43" s="1"/>
  <c r="P134" i="43"/>
  <c r="R134" i="43" s="1"/>
  <c r="P100" i="43"/>
  <c r="R100" i="43" s="1"/>
  <c r="P67" i="43"/>
  <c r="R67" i="43" s="1"/>
  <c r="P107" i="43"/>
  <c r="R107" i="43" s="1"/>
  <c r="P79" i="43"/>
  <c r="R79" i="43" s="1"/>
  <c r="P130" i="43"/>
  <c r="R130" i="43" s="1"/>
  <c r="P139" i="43"/>
  <c r="R139" i="43" s="1"/>
  <c r="P98" i="43"/>
  <c r="R98" i="43" s="1"/>
  <c r="P118" i="43"/>
  <c r="R118" i="43" s="1"/>
  <c r="P110" i="43"/>
  <c r="R110" i="43" s="1"/>
  <c r="P84" i="43"/>
  <c r="R84" i="43" s="1"/>
  <c r="P69" i="43"/>
  <c r="R69" i="43" s="1"/>
  <c r="P182" i="43"/>
  <c r="R182" i="43" s="1"/>
  <c r="P129" i="43"/>
  <c r="R129" i="43" s="1"/>
  <c r="P113" i="43"/>
  <c r="R113" i="43" s="1"/>
  <c r="P109" i="43"/>
  <c r="R109" i="43" s="1"/>
  <c r="P115" i="43"/>
  <c r="R115" i="43" s="1"/>
  <c r="P103" i="43"/>
  <c r="R103" i="43" s="1"/>
  <c r="P205" i="43"/>
  <c r="P89" i="43"/>
  <c r="R89" i="43" s="1"/>
  <c r="P169" i="43"/>
  <c r="R169" i="43" s="1"/>
  <c r="P105" i="43"/>
  <c r="R105" i="43" s="1"/>
  <c r="P106" i="43"/>
  <c r="R106" i="43" s="1"/>
  <c r="P152" i="43"/>
  <c r="R152" i="43" s="1"/>
  <c r="P190" i="43"/>
  <c r="P174" i="43"/>
  <c r="R174" i="43" s="1"/>
  <c r="P138" i="43"/>
  <c r="R138" i="43" s="1"/>
  <c r="P147" i="43"/>
  <c r="R147" i="43" s="1"/>
  <c r="P183" i="43"/>
  <c r="R183" i="43" s="1"/>
  <c r="P88" i="43"/>
  <c r="R88" i="43" s="1"/>
  <c r="P91" i="43"/>
  <c r="R91" i="43" s="1"/>
  <c r="P206" i="43"/>
  <c r="P63" i="43"/>
  <c r="R63" i="43" s="1"/>
  <c r="P173" i="43"/>
  <c r="R173" i="43" s="1"/>
  <c r="P188" i="43"/>
  <c r="P117" i="43"/>
  <c r="R117" i="43" s="1"/>
  <c r="P120" i="43"/>
  <c r="R120" i="43" s="1"/>
  <c r="P132" i="43"/>
  <c r="R132" i="43" s="1"/>
  <c r="P76" i="43"/>
  <c r="R76" i="43" s="1"/>
  <c r="P94" i="43"/>
  <c r="R94" i="43" s="1"/>
  <c r="P114" i="43"/>
  <c r="R114" i="43" s="1"/>
  <c r="P133" i="43"/>
  <c r="R133" i="43" s="1"/>
  <c r="P112" i="43"/>
  <c r="R112" i="43" s="1"/>
  <c r="P126" i="43"/>
  <c r="P163" i="43"/>
  <c r="R163" i="43" s="1"/>
  <c r="P192" i="43"/>
  <c r="P202" i="43"/>
  <c r="P211" i="43"/>
  <c r="P104" i="43"/>
  <c r="R104" i="43" s="1"/>
  <c r="P53" i="43"/>
  <c r="R53" i="43" s="1"/>
  <c r="P150" i="43"/>
  <c r="R150" i="43" s="1"/>
  <c r="P90" i="43"/>
  <c r="R90" i="43" s="1"/>
  <c r="P207" i="43"/>
  <c r="P168" i="43"/>
  <c r="R168" i="43" s="1"/>
  <c r="P135" i="43"/>
  <c r="R135" i="43" s="1"/>
  <c r="P81" i="43"/>
  <c r="R81" i="43" s="1"/>
  <c r="P232" i="43"/>
  <c r="P197" i="43"/>
  <c r="R197" i="43" s="1"/>
  <c r="P166" i="43"/>
  <c r="R166" i="43" s="1"/>
  <c r="P151" i="43"/>
  <c r="R151" i="43" s="1"/>
  <c r="P161" i="43"/>
  <c r="R161" i="43" s="1"/>
  <c r="P162" i="43"/>
  <c r="R162" i="43" s="1"/>
  <c r="P175" i="43"/>
  <c r="R175" i="43" s="1"/>
  <c r="P96" i="43"/>
  <c r="R96" i="43" s="1"/>
  <c r="P143" i="43"/>
  <c r="R143" i="43" s="1"/>
  <c r="P199" i="43"/>
  <c r="R199" i="43" s="1"/>
  <c r="P201" i="43"/>
  <c r="R201" i="43" s="1"/>
  <c r="P122" i="43"/>
  <c r="R122" i="43" s="1"/>
  <c r="P123" i="43"/>
  <c r="R123" i="43" s="1"/>
  <c r="P179" i="43"/>
  <c r="R179" i="43" s="1"/>
  <c r="P125" i="43"/>
  <c r="P178" i="43"/>
  <c r="R178" i="43" s="1"/>
  <c r="P54" i="43"/>
  <c r="R54" i="43" s="1"/>
  <c r="P95" i="43"/>
  <c r="R95" i="43" s="1"/>
  <c r="P180" i="43"/>
  <c r="R180" i="43" s="1"/>
  <c r="P92" i="43"/>
  <c r="R92" i="43" s="1"/>
  <c r="P102" i="43"/>
  <c r="R102" i="43" s="1"/>
  <c r="P144" i="43"/>
  <c r="R144" i="43" s="1"/>
  <c r="P146" i="43"/>
  <c r="R146" i="43" s="1"/>
  <c r="P185" i="43"/>
  <c r="P80" i="43"/>
  <c r="R80" i="43" s="1"/>
  <c r="P208" i="43"/>
  <c r="P52" i="43"/>
  <c r="R52" i="43" s="1"/>
  <c r="P66" i="43"/>
  <c r="R66" i="43" s="1"/>
  <c r="P176" i="43"/>
  <c r="R176" i="43" s="1"/>
  <c r="P170" i="43"/>
  <c r="R170" i="43" s="1"/>
  <c r="P196" i="43"/>
  <c r="R196" i="43" s="1"/>
  <c r="P189" i="43"/>
  <c r="P55" i="43"/>
  <c r="R55" i="43" s="1"/>
  <c r="P233" i="43"/>
  <c r="R233" i="43" s="1"/>
  <c r="P99" i="43"/>
  <c r="R99" i="43" s="1"/>
  <c r="P195" i="43"/>
  <c r="R195" i="43" s="1"/>
  <c r="P75" i="43"/>
  <c r="R75" i="43" s="1"/>
  <c r="P137" i="43"/>
  <c r="R137" i="43" s="1"/>
  <c r="P184" i="43"/>
  <c r="P101" i="43"/>
  <c r="R101" i="43" s="1"/>
  <c r="P141" i="43"/>
  <c r="R141" i="43" s="1"/>
  <c r="P191" i="43"/>
  <c r="P56" i="43"/>
  <c r="R56" i="43" s="1"/>
  <c r="P186" i="43"/>
  <c r="P158" i="43"/>
  <c r="R158" i="43" s="1"/>
  <c r="P73" i="43"/>
  <c r="R73" i="43" s="1"/>
  <c r="P61" i="43"/>
  <c r="R61" i="43" s="1"/>
  <c r="P159" i="43"/>
  <c r="R159" i="43" s="1"/>
  <c r="P142" i="43"/>
  <c r="R142" i="43" s="1"/>
  <c r="P198" i="43"/>
  <c r="R198" i="43" s="1"/>
  <c r="P108" i="43"/>
  <c r="R108" i="43" s="1"/>
  <c r="P204" i="43"/>
  <c r="P160" i="43"/>
  <c r="R160" i="43" s="1"/>
  <c r="P164" i="43"/>
  <c r="R164" i="43" s="1"/>
  <c r="P58" i="43"/>
  <c r="R58" i="43" s="1"/>
  <c r="P209" i="43"/>
  <c r="P128" i="43"/>
  <c r="R128" i="43" s="1"/>
  <c r="P167" i="43"/>
  <c r="R167" i="43" s="1"/>
  <c r="P57" i="43"/>
  <c r="R57" i="43" s="1"/>
  <c r="P210" i="43"/>
  <c r="P62" i="43"/>
  <c r="R62" i="43" s="1"/>
  <c r="P72" i="43"/>
  <c r="R72" i="43" s="1"/>
  <c r="P111" i="43"/>
  <c r="R111" i="43" s="1"/>
  <c r="P119" i="43"/>
  <c r="R119" i="43" s="1"/>
  <c r="P64" i="43"/>
  <c r="R64" i="43" s="1"/>
  <c r="P140" i="43"/>
  <c r="R140" i="43" s="1"/>
  <c r="P68" i="43"/>
  <c r="R68" i="43" s="1"/>
  <c r="P177" i="43"/>
  <c r="R177" i="43" s="1"/>
  <c r="P127" i="43"/>
  <c r="P124" i="43"/>
  <c r="P156" i="43"/>
  <c r="R156" i="43" s="1"/>
  <c r="P59" i="43"/>
  <c r="R59" i="43" s="1"/>
  <c r="P116" i="43"/>
  <c r="R116" i="43" s="1"/>
  <c r="P172" i="43"/>
  <c r="R172" i="43" s="1"/>
  <c r="P157" i="43"/>
  <c r="R157" i="43" s="1"/>
  <c r="P181" i="43"/>
  <c r="R181" i="43" s="1"/>
  <c r="P82" i="43"/>
  <c r="R82" i="43" s="1"/>
  <c r="P154" i="43"/>
  <c r="R154" i="43" s="1"/>
  <c r="P194" i="43"/>
  <c r="R194" i="43" s="1"/>
  <c r="P187" i="43"/>
  <c r="P121" i="43"/>
  <c r="R121" i="43" s="1"/>
  <c r="P203" i="43"/>
  <c r="P74" i="43"/>
  <c r="R74" i="43" s="1"/>
  <c r="P235" i="43"/>
  <c r="R235" i="43" s="1"/>
  <c r="P77" i="43"/>
  <c r="R77" i="43" s="1"/>
  <c r="P65" i="43"/>
  <c r="R65" i="43" s="1"/>
  <c r="P155" i="43"/>
  <c r="R155" i="43" s="1"/>
  <c r="P145" i="43"/>
  <c r="R145" i="43" s="1"/>
  <c r="P149" i="43"/>
  <c r="R149" i="43" s="1"/>
  <c r="P165" i="43"/>
  <c r="R165" i="43" s="1"/>
  <c r="P78" i="43"/>
  <c r="R78" i="43" s="1"/>
  <c r="P171" i="43"/>
  <c r="R171" i="43" s="1"/>
  <c r="P93" i="43"/>
  <c r="R93" i="43" s="1"/>
  <c r="P153" i="43"/>
  <c r="R153" i="43" s="1"/>
  <c r="P131" i="43"/>
  <c r="R131" i="43" s="1"/>
  <c r="P136" i="43"/>
  <c r="R136" i="43" s="1"/>
  <c r="P193" i="43"/>
  <c r="P148" i="43"/>
  <c r="R148" i="43" s="1"/>
  <c r="I333" i="43"/>
  <c r="O236" i="43"/>
  <c r="P236" i="43" s="1"/>
  <c r="R236" i="43" s="1"/>
  <c r="K333" i="43"/>
  <c r="J333" i="43"/>
  <c r="J237" i="43"/>
  <c r="H10" i="47"/>
  <c r="B351" i="38"/>
  <c r="H336" i="47"/>
  <c r="B336" i="38"/>
  <c r="B335" i="38"/>
  <c r="B334" i="38"/>
  <c r="B333" i="38"/>
  <c r="B332" i="38"/>
  <c r="B331" i="38"/>
  <c r="B330" i="38"/>
  <c r="B329" i="38"/>
  <c r="B328" i="38"/>
  <c r="B327" i="38"/>
  <c r="B326" i="38"/>
  <c r="B325" i="38"/>
  <c r="B324" i="38"/>
  <c r="B323" i="38"/>
  <c r="B322" i="38"/>
  <c r="B321" i="38"/>
  <c r="B320" i="38"/>
  <c r="B319" i="38"/>
  <c r="B318" i="38"/>
  <c r="B317" i="38"/>
  <c r="B316" i="38"/>
  <c r="B315" i="38"/>
  <c r="B314" i="38"/>
  <c r="B313" i="38"/>
  <c r="B312" i="38"/>
  <c r="B311" i="38"/>
  <c r="B310" i="38"/>
  <c r="B309" i="38"/>
  <c r="B308" i="38"/>
  <c r="B307" i="38"/>
  <c r="B306" i="38"/>
  <c r="B305" i="38"/>
  <c r="B304" i="38"/>
  <c r="B303" i="38"/>
  <c r="B302" i="38"/>
  <c r="B301" i="38"/>
  <c r="B300" i="38"/>
  <c r="B299" i="38"/>
  <c r="B298" i="38"/>
  <c r="B297" i="38"/>
  <c r="B296" i="38"/>
  <c r="B295" i="38"/>
  <c r="B294" i="38"/>
  <c r="B293" i="38"/>
  <c r="B292" i="38"/>
  <c r="B291" i="38"/>
  <c r="B290" i="38"/>
  <c r="B289" i="38"/>
  <c r="B288" i="38"/>
  <c r="B287" i="38"/>
  <c r="B286" i="38"/>
  <c r="B285" i="38"/>
  <c r="B284" i="38"/>
  <c r="B283" i="38"/>
  <c r="B282" i="38"/>
  <c r="B281" i="38"/>
  <c r="B280" i="38"/>
  <c r="B279" i="38"/>
  <c r="B278" i="38"/>
  <c r="B277" i="38"/>
  <c r="B276" i="38"/>
  <c r="B275" i="38"/>
  <c r="B274" i="38"/>
  <c r="B273" i="38"/>
  <c r="B272" i="38"/>
  <c r="B271" i="38"/>
  <c r="B270" i="38"/>
  <c r="B269" i="38"/>
  <c r="B268" i="38"/>
  <c r="B267" i="38"/>
  <c r="B266" i="38"/>
  <c r="B265" i="38"/>
  <c r="B264" i="38"/>
  <c r="B263" i="38"/>
  <c r="B262" i="38"/>
  <c r="B261" i="38"/>
  <c r="B260" i="38"/>
  <c r="B259" i="38"/>
  <c r="B258" i="38"/>
  <c r="B257" i="38"/>
  <c r="B256" i="38"/>
  <c r="B255" i="38"/>
  <c r="B254" i="38"/>
  <c r="B253" i="38"/>
  <c r="B252" i="38"/>
  <c r="B251" i="38"/>
  <c r="B250" i="38"/>
  <c r="B249" i="38"/>
  <c r="B248" i="38"/>
  <c r="B247" i="38"/>
  <c r="B246" i="38"/>
  <c r="B245" i="38"/>
  <c r="B244" i="38"/>
  <c r="B243" i="38"/>
  <c r="B242" i="38"/>
  <c r="B241" i="38"/>
  <c r="B240" i="38"/>
  <c r="B239" i="38"/>
  <c r="B238" i="38"/>
  <c r="B237" i="38"/>
  <c r="B236" i="38"/>
  <c r="B235" i="38"/>
  <c r="B234" i="38"/>
  <c r="B233" i="38"/>
  <c r="B232" i="38"/>
  <c r="B231" i="38"/>
  <c r="B230" i="38"/>
  <c r="B229" i="38"/>
  <c r="B228" i="38"/>
  <c r="B227" i="38"/>
  <c r="B226" i="38"/>
  <c r="B225" i="38"/>
  <c r="B224" i="38"/>
  <c r="B223" i="38"/>
  <c r="B222" i="38"/>
  <c r="B221" i="38"/>
  <c r="B220" i="38"/>
  <c r="B219" i="38"/>
  <c r="B218" i="38"/>
  <c r="B217" i="38"/>
  <c r="B216" i="38"/>
  <c r="B215" i="38"/>
  <c r="B214" i="38"/>
  <c r="B213" i="38"/>
  <c r="B212" i="38"/>
  <c r="B211" i="38"/>
  <c r="B210" i="38"/>
  <c r="B209" i="38"/>
  <c r="B208" i="38"/>
  <c r="B207" i="38"/>
  <c r="B206" i="38"/>
  <c r="B205" i="38"/>
  <c r="B204" i="38"/>
  <c r="B203" i="38"/>
  <c r="B202" i="38"/>
  <c r="B201" i="38"/>
  <c r="B200" i="38"/>
  <c r="B199" i="38"/>
  <c r="B198" i="38"/>
  <c r="B197" i="38"/>
  <c r="B196" i="38"/>
  <c r="B195" i="38"/>
  <c r="B194" i="38"/>
  <c r="B193" i="38"/>
  <c r="B192" i="38"/>
  <c r="B191" i="38"/>
  <c r="B190" i="38"/>
  <c r="B189" i="38"/>
  <c r="B188" i="38"/>
  <c r="B187" i="38"/>
  <c r="B186" i="38"/>
  <c r="B185" i="38"/>
  <c r="B184" i="38"/>
  <c r="B183" i="38"/>
  <c r="B182" i="38"/>
  <c r="B181" i="38"/>
  <c r="B180" i="38"/>
  <c r="B179" i="38"/>
  <c r="B178" i="38"/>
  <c r="B177" i="38"/>
  <c r="B176" i="38"/>
  <c r="B175" i="38"/>
  <c r="B174" i="38"/>
  <c r="B173" i="38"/>
  <c r="B172" i="38"/>
  <c r="B171" i="38"/>
  <c r="B170" i="38"/>
  <c r="B169" i="38"/>
  <c r="B168" i="38"/>
  <c r="B167" i="38"/>
  <c r="B166" i="38"/>
  <c r="B165" i="38"/>
  <c r="B164" i="38"/>
  <c r="B163" i="38"/>
  <c r="B162" i="38"/>
  <c r="B161" i="38"/>
  <c r="B160" i="38"/>
  <c r="B159" i="38"/>
  <c r="B158" i="38"/>
  <c r="B157" i="38"/>
  <c r="B156" i="38"/>
  <c r="B155" i="38"/>
  <c r="B154" i="38"/>
  <c r="B153" i="38"/>
  <c r="B152" i="38"/>
  <c r="B151" i="38"/>
  <c r="B150" i="38"/>
  <c r="B149" i="38"/>
  <c r="B148" i="38"/>
  <c r="B147" i="38"/>
  <c r="B146" i="38"/>
  <c r="B145" i="38"/>
  <c r="B144" i="38"/>
  <c r="B143" i="38"/>
  <c r="B142" i="38"/>
  <c r="B141" i="38"/>
  <c r="B140" i="38"/>
  <c r="B139" i="38"/>
  <c r="B138" i="38"/>
  <c r="B137" i="38"/>
  <c r="B136" i="38"/>
  <c r="B135" i="38"/>
  <c r="B134" i="38"/>
  <c r="B133" i="38"/>
  <c r="B132" i="38"/>
  <c r="B131" i="38"/>
  <c r="B130" i="38"/>
  <c r="B129" i="38"/>
  <c r="B128" i="38"/>
  <c r="B127" i="38"/>
  <c r="B126" i="38"/>
  <c r="B125" i="38"/>
  <c r="B124" i="38"/>
  <c r="B123" i="38"/>
  <c r="B122" i="38"/>
  <c r="B121" i="38"/>
  <c r="B120" i="38"/>
  <c r="B119" i="38"/>
  <c r="B118" i="38"/>
  <c r="B117" i="38"/>
  <c r="B116" i="38"/>
  <c r="B115" i="38"/>
  <c r="B114" i="38"/>
  <c r="B113" i="38"/>
  <c r="B112" i="38"/>
  <c r="B111" i="38"/>
  <c r="B110" i="38"/>
  <c r="B109" i="38"/>
  <c r="B108" i="38"/>
  <c r="B107" i="38"/>
  <c r="B106" i="38"/>
  <c r="B105" i="38"/>
  <c r="B104" i="38"/>
  <c r="B103" i="38"/>
  <c r="B102" i="38"/>
  <c r="B101" i="38"/>
  <c r="B100" i="38"/>
  <c r="B99" i="38"/>
  <c r="B98" i="38"/>
  <c r="B97" i="38"/>
  <c r="B96" i="38"/>
  <c r="B95" i="38"/>
  <c r="B94" i="38"/>
  <c r="B93" i="38"/>
  <c r="B92" i="38"/>
  <c r="B91" i="38"/>
  <c r="B90" i="38"/>
  <c r="B89" i="38"/>
  <c r="B88" i="38"/>
  <c r="B87" i="38"/>
  <c r="B86" i="38"/>
  <c r="B85" i="38"/>
  <c r="B84" i="38"/>
  <c r="B83" i="38"/>
  <c r="B82" i="38"/>
  <c r="B81" i="38"/>
  <c r="B80" i="38"/>
  <c r="B79" i="38"/>
  <c r="B78" i="38"/>
  <c r="B77" i="38"/>
  <c r="B76" i="38"/>
  <c r="B75" i="38"/>
  <c r="B74" i="38"/>
  <c r="B73" i="38"/>
  <c r="B72" i="38"/>
  <c r="B71" i="38"/>
  <c r="B70" i="38"/>
  <c r="B69" i="38"/>
  <c r="B68" i="38"/>
  <c r="B67" i="38"/>
  <c r="B66" i="38"/>
  <c r="B65" i="38"/>
  <c r="B64" i="38"/>
  <c r="B63" i="38"/>
  <c r="B62" i="38"/>
  <c r="B61" i="38"/>
  <c r="B60" i="38"/>
  <c r="B59" i="38"/>
  <c r="B58" i="38"/>
  <c r="B57" i="38"/>
  <c r="B56" i="38"/>
  <c r="B55" i="38"/>
  <c r="B54" i="38"/>
  <c r="B53" i="38"/>
  <c r="B52" i="38"/>
  <c r="B51" i="38"/>
  <c r="B50" i="38"/>
  <c r="B49" i="38"/>
  <c r="B48" i="38"/>
  <c r="B47" i="38"/>
  <c r="B46" i="38"/>
  <c r="B45" i="38"/>
  <c r="B44" i="38"/>
  <c r="B43" i="38"/>
  <c r="B42" i="38"/>
  <c r="B41" i="38"/>
  <c r="B40" i="38"/>
  <c r="B39" i="38"/>
  <c r="B38" i="38"/>
  <c r="B37" i="38"/>
  <c r="B36" i="38"/>
  <c r="B35" i="38"/>
  <c r="B34" i="38"/>
  <c r="B33" i="38"/>
  <c r="B32" i="38"/>
  <c r="B31" i="38"/>
  <c r="B30" i="38"/>
  <c r="B29" i="38"/>
  <c r="H28" i="47"/>
  <c r="B28" i="38"/>
  <c r="B27" i="38"/>
  <c r="B17" i="38"/>
  <c r="B16" i="38"/>
  <c r="B15" i="38"/>
  <c r="B14" i="38"/>
  <c r="B13" i="38"/>
  <c r="B12" i="38"/>
  <c r="B11" i="38"/>
  <c r="B10" i="38"/>
  <c r="B9" i="38"/>
  <c r="B8" i="38"/>
  <c r="B7" i="38"/>
  <c r="B6" i="38"/>
  <c r="B5" i="38"/>
  <c r="B4" i="38"/>
  <c r="B3" i="38"/>
  <c r="B2" i="38"/>
  <c r="G7" i="47"/>
  <c r="C3" i="36"/>
  <c r="B336" i="36"/>
  <c r="B335" i="36"/>
  <c r="B334" i="36"/>
  <c r="B333" i="36"/>
  <c r="B332" i="36"/>
  <c r="B331" i="36"/>
  <c r="B330" i="36"/>
  <c r="B329" i="36"/>
  <c r="B328" i="36"/>
  <c r="B327" i="36"/>
  <c r="B326" i="36"/>
  <c r="B325" i="36"/>
  <c r="B324" i="36"/>
  <c r="B323" i="36"/>
  <c r="B322" i="36"/>
  <c r="B321" i="36"/>
  <c r="B320" i="36"/>
  <c r="B319" i="36"/>
  <c r="B318" i="36"/>
  <c r="B317" i="36"/>
  <c r="B316" i="36"/>
  <c r="B315" i="36"/>
  <c r="B314" i="36"/>
  <c r="B313" i="36"/>
  <c r="B312" i="36"/>
  <c r="B311" i="36"/>
  <c r="B310" i="36"/>
  <c r="B309" i="36"/>
  <c r="B308" i="36"/>
  <c r="B307" i="36"/>
  <c r="B306" i="36"/>
  <c r="B305" i="36"/>
  <c r="B304" i="36"/>
  <c r="B303" i="36"/>
  <c r="B302" i="36"/>
  <c r="B301" i="36"/>
  <c r="B300" i="36"/>
  <c r="B299" i="36"/>
  <c r="B298" i="36"/>
  <c r="B297" i="36"/>
  <c r="B296" i="36"/>
  <c r="B295" i="36"/>
  <c r="B294" i="36"/>
  <c r="B293" i="36"/>
  <c r="B292" i="36"/>
  <c r="B291" i="36"/>
  <c r="B290" i="36"/>
  <c r="B289" i="36"/>
  <c r="B288" i="36"/>
  <c r="B287" i="36"/>
  <c r="B286" i="36"/>
  <c r="B285" i="36"/>
  <c r="B284" i="36"/>
  <c r="B283" i="36"/>
  <c r="B282" i="36"/>
  <c r="B281" i="36"/>
  <c r="B280" i="36"/>
  <c r="B279" i="36"/>
  <c r="B278" i="36"/>
  <c r="B277" i="36"/>
  <c r="B276" i="36"/>
  <c r="B275" i="36"/>
  <c r="B274" i="36"/>
  <c r="B273" i="36"/>
  <c r="B272" i="36"/>
  <c r="B271" i="36"/>
  <c r="B270" i="36"/>
  <c r="B269" i="36"/>
  <c r="B268" i="36"/>
  <c r="B267" i="36"/>
  <c r="B266" i="36"/>
  <c r="B265" i="36"/>
  <c r="B264" i="36"/>
  <c r="B263" i="36"/>
  <c r="B262" i="36"/>
  <c r="B261" i="36"/>
  <c r="B260" i="36"/>
  <c r="B259" i="36"/>
  <c r="B258" i="36"/>
  <c r="B257" i="36"/>
  <c r="B256" i="36"/>
  <c r="B255" i="36"/>
  <c r="B254" i="36"/>
  <c r="B253" i="36"/>
  <c r="B252" i="36"/>
  <c r="B251" i="36"/>
  <c r="B250" i="36"/>
  <c r="B249" i="36"/>
  <c r="B248" i="36"/>
  <c r="B247" i="36"/>
  <c r="B246" i="36"/>
  <c r="B245" i="36"/>
  <c r="B244" i="36"/>
  <c r="B243" i="36"/>
  <c r="B242" i="36"/>
  <c r="B241" i="36"/>
  <c r="B240" i="36"/>
  <c r="B239" i="36"/>
  <c r="B238" i="36"/>
  <c r="B237" i="36"/>
  <c r="B236" i="36"/>
  <c r="B235" i="36"/>
  <c r="B234" i="36"/>
  <c r="B233" i="36"/>
  <c r="B232" i="36"/>
  <c r="B231" i="36"/>
  <c r="B230" i="36"/>
  <c r="B229" i="36"/>
  <c r="B228" i="36"/>
  <c r="B227" i="36"/>
  <c r="B226" i="36"/>
  <c r="B225" i="36"/>
  <c r="B224" i="36"/>
  <c r="B223" i="36"/>
  <c r="B222" i="36"/>
  <c r="B221" i="36"/>
  <c r="B220" i="36"/>
  <c r="B219" i="36"/>
  <c r="B218" i="36"/>
  <c r="B217" i="36"/>
  <c r="B216" i="36"/>
  <c r="B215" i="36"/>
  <c r="B214" i="36"/>
  <c r="B213" i="36"/>
  <c r="B212" i="36"/>
  <c r="B211" i="36"/>
  <c r="B210" i="36"/>
  <c r="B209" i="36"/>
  <c r="B208" i="36"/>
  <c r="B207" i="36"/>
  <c r="B206" i="36"/>
  <c r="B205" i="36"/>
  <c r="B204" i="36"/>
  <c r="B203" i="36"/>
  <c r="B202" i="36"/>
  <c r="B201" i="36"/>
  <c r="B200" i="36"/>
  <c r="B199" i="36"/>
  <c r="B198" i="36"/>
  <c r="B197" i="36"/>
  <c r="B196" i="36"/>
  <c r="B195" i="36"/>
  <c r="B194" i="36"/>
  <c r="B193" i="36"/>
  <c r="B192" i="36"/>
  <c r="B191" i="36"/>
  <c r="B190" i="36"/>
  <c r="B189" i="36"/>
  <c r="B188" i="36"/>
  <c r="B187" i="36"/>
  <c r="B186" i="36"/>
  <c r="B185" i="36"/>
  <c r="B184" i="36"/>
  <c r="B183" i="36"/>
  <c r="B182" i="36"/>
  <c r="B181" i="36"/>
  <c r="B180" i="36"/>
  <c r="B179" i="36"/>
  <c r="B178" i="36"/>
  <c r="B177" i="36"/>
  <c r="B176" i="36"/>
  <c r="B175" i="36"/>
  <c r="B174" i="36"/>
  <c r="B173" i="36"/>
  <c r="B172" i="36"/>
  <c r="B171" i="36"/>
  <c r="B170" i="36"/>
  <c r="B169" i="36"/>
  <c r="B168" i="36"/>
  <c r="B167" i="36"/>
  <c r="B166" i="36"/>
  <c r="B165" i="36"/>
  <c r="B164" i="36"/>
  <c r="B163" i="36"/>
  <c r="B162" i="36"/>
  <c r="B161" i="36"/>
  <c r="B160" i="36"/>
  <c r="B159" i="36"/>
  <c r="B158" i="36"/>
  <c r="B157" i="36"/>
  <c r="B156" i="36"/>
  <c r="B155" i="36"/>
  <c r="B154" i="36"/>
  <c r="B153" i="36"/>
  <c r="B152" i="36"/>
  <c r="B151" i="36"/>
  <c r="B150" i="36"/>
  <c r="B149" i="36"/>
  <c r="B148" i="36"/>
  <c r="B147" i="36"/>
  <c r="B146" i="36"/>
  <c r="B145" i="36"/>
  <c r="B144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C27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G28" i="47"/>
  <c r="B28" i="36"/>
  <c r="B27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2" i="36"/>
  <c r="E350" i="35"/>
  <c r="D350" i="35"/>
  <c r="C350" i="35"/>
  <c r="E349" i="35"/>
  <c r="D349" i="35"/>
  <c r="C349" i="35"/>
  <c r="E348" i="35"/>
  <c r="D348" i="35"/>
  <c r="C348" i="35"/>
  <c r="E347" i="35"/>
  <c r="D347" i="35"/>
  <c r="C347" i="35"/>
  <c r="E346" i="35"/>
  <c r="C346" i="35"/>
  <c r="E345" i="35"/>
  <c r="C345" i="35"/>
  <c r="E342" i="35"/>
  <c r="E341" i="35"/>
  <c r="E338" i="35"/>
  <c r="D338" i="35"/>
  <c r="E337" i="35"/>
  <c r="B336" i="35"/>
  <c r="B335" i="35"/>
  <c r="B334" i="35"/>
  <c r="B333" i="35"/>
  <c r="B332" i="35"/>
  <c r="B331" i="35"/>
  <c r="B330" i="35"/>
  <c r="E329" i="35"/>
  <c r="D329" i="35"/>
  <c r="C329" i="35"/>
  <c r="B329" i="35"/>
  <c r="E328" i="35"/>
  <c r="D328" i="35"/>
  <c r="C328" i="35"/>
  <c r="B328" i="35"/>
  <c r="E327" i="35"/>
  <c r="D327" i="35"/>
  <c r="C327" i="35"/>
  <c r="B327" i="35"/>
  <c r="E326" i="35"/>
  <c r="D326" i="35"/>
  <c r="C326" i="35"/>
  <c r="B326" i="35"/>
  <c r="E325" i="35"/>
  <c r="D325" i="35"/>
  <c r="C325" i="35"/>
  <c r="B325" i="35"/>
  <c r="E324" i="35"/>
  <c r="D324" i="35"/>
  <c r="C324" i="35"/>
  <c r="B324" i="35"/>
  <c r="E323" i="35"/>
  <c r="D323" i="35"/>
  <c r="C323" i="35"/>
  <c r="B323" i="35"/>
  <c r="B322" i="35"/>
  <c r="E321" i="35"/>
  <c r="D321" i="35"/>
  <c r="C321" i="35"/>
  <c r="B321" i="35"/>
  <c r="E320" i="35"/>
  <c r="D320" i="35"/>
  <c r="C320" i="35"/>
  <c r="B320" i="35"/>
  <c r="E319" i="35"/>
  <c r="D319" i="35"/>
  <c r="C319" i="35"/>
  <c r="B319" i="35"/>
  <c r="E318" i="35"/>
  <c r="D318" i="35"/>
  <c r="C318" i="35"/>
  <c r="B318" i="35"/>
  <c r="E317" i="35"/>
  <c r="D317" i="35"/>
  <c r="C317" i="35"/>
  <c r="B317" i="35"/>
  <c r="E316" i="35"/>
  <c r="D316" i="35"/>
  <c r="C316" i="35"/>
  <c r="B316" i="35"/>
  <c r="B315" i="35"/>
  <c r="E314" i="35"/>
  <c r="D314" i="35"/>
  <c r="C314" i="35"/>
  <c r="B314" i="35"/>
  <c r="E313" i="35"/>
  <c r="D313" i="35"/>
  <c r="C313" i="35"/>
  <c r="B313" i="35"/>
  <c r="E312" i="35"/>
  <c r="D312" i="35"/>
  <c r="C312" i="35"/>
  <c r="B312" i="35"/>
  <c r="E311" i="35"/>
  <c r="D311" i="35"/>
  <c r="C311" i="35"/>
  <c r="B311" i="35"/>
  <c r="E310" i="35"/>
  <c r="D310" i="35"/>
  <c r="C310" i="35"/>
  <c r="B310" i="35"/>
  <c r="E309" i="35"/>
  <c r="D309" i="35"/>
  <c r="C309" i="35"/>
  <c r="B309" i="35"/>
  <c r="E308" i="35"/>
  <c r="D308" i="35"/>
  <c r="C308" i="35"/>
  <c r="B308" i="35"/>
  <c r="E307" i="35"/>
  <c r="D307" i="35"/>
  <c r="C307" i="35"/>
  <c r="B307" i="35"/>
  <c r="E306" i="35"/>
  <c r="D306" i="35"/>
  <c r="C306" i="35"/>
  <c r="B306" i="35"/>
  <c r="E305" i="35"/>
  <c r="D305" i="35"/>
  <c r="C305" i="35"/>
  <c r="B305" i="35"/>
  <c r="E304" i="35"/>
  <c r="D304" i="35"/>
  <c r="B304" i="35"/>
  <c r="E303" i="35"/>
  <c r="D303" i="35"/>
  <c r="C303" i="35"/>
  <c r="B303" i="35"/>
  <c r="E302" i="35"/>
  <c r="D302" i="35"/>
  <c r="C302" i="35"/>
  <c r="B302" i="35"/>
  <c r="E301" i="35"/>
  <c r="D301" i="35"/>
  <c r="C301" i="35"/>
  <c r="B301" i="35"/>
  <c r="E300" i="35"/>
  <c r="D300" i="35"/>
  <c r="C300" i="35"/>
  <c r="B300" i="35"/>
  <c r="E299" i="35"/>
  <c r="D299" i="35"/>
  <c r="C299" i="35"/>
  <c r="B299" i="35"/>
  <c r="E298" i="35"/>
  <c r="D298" i="35"/>
  <c r="C298" i="35"/>
  <c r="B298" i="35"/>
  <c r="E297" i="35"/>
  <c r="D297" i="35"/>
  <c r="C297" i="35"/>
  <c r="B297" i="35"/>
  <c r="E296" i="35"/>
  <c r="D296" i="35"/>
  <c r="C296" i="35"/>
  <c r="B296" i="35"/>
  <c r="E295" i="35"/>
  <c r="D295" i="35"/>
  <c r="C295" i="35"/>
  <c r="B295" i="35"/>
  <c r="B294" i="35"/>
  <c r="E293" i="35"/>
  <c r="D293" i="35"/>
  <c r="C293" i="35"/>
  <c r="B293" i="35"/>
  <c r="E292" i="35"/>
  <c r="D292" i="35"/>
  <c r="C292" i="35"/>
  <c r="B292" i="35"/>
  <c r="E291" i="35"/>
  <c r="D291" i="35"/>
  <c r="C291" i="35"/>
  <c r="B291" i="35"/>
  <c r="E290" i="35"/>
  <c r="D290" i="35"/>
  <c r="C290" i="35"/>
  <c r="B290" i="35"/>
  <c r="E289" i="35"/>
  <c r="D289" i="35"/>
  <c r="C289" i="35"/>
  <c r="B289" i="35"/>
  <c r="E288" i="35"/>
  <c r="D288" i="35"/>
  <c r="C288" i="35"/>
  <c r="B288" i="35"/>
  <c r="E287" i="35"/>
  <c r="D287" i="35"/>
  <c r="C287" i="35"/>
  <c r="B287" i="35"/>
  <c r="E286" i="35"/>
  <c r="D286" i="35"/>
  <c r="C286" i="35"/>
  <c r="B286" i="35"/>
  <c r="E285" i="35"/>
  <c r="D285" i="35"/>
  <c r="C285" i="35"/>
  <c r="B285" i="35"/>
  <c r="E284" i="35"/>
  <c r="D284" i="35"/>
  <c r="C284" i="35"/>
  <c r="B284" i="35"/>
  <c r="E283" i="35"/>
  <c r="D283" i="35"/>
  <c r="C283" i="35"/>
  <c r="B283" i="35"/>
  <c r="E282" i="35"/>
  <c r="D282" i="35"/>
  <c r="C282" i="35"/>
  <c r="B282" i="35"/>
  <c r="E281" i="35"/>
  <c r="D281" i="35"/>
  <c r="C281" i="35"/>
  <c r="B281" i="35"/>
  <c r="E280" i="35"/>
  <c r="D280" i="35"/>
  <c r="C280" i="35"/>
  <c r="B280" i="35"/>
  <c r="E279" i="35"/>
  <c r="D279" i="35"/>
  <c r="C279" i="35"/>
  <c r="B279" i="35"/>
  <c r="E278" i="35"/>
  <c r="D278" i="35"/>
  <c r="C278" i="35"/>
  <c r="B278" i="35"/>
  <c r="E277" i="35"/>
  <c r="D277" i="35"/>
  <c r="C277" i="35"/>
  <c r="B277" i="35"/>
  <c r="E276" i="35"/>
  <c r="D276" i="35"/>
  <c r="C276" i="35"/>
  <c r="B276" i="35"/>
  <c r="E275" i="35"/>
  <c r="D275" i="35"/>
  <c r="C275" i="35"/>
  <c r="B275" i="35"/>
  <c r="E274" i="35"/>
  <c r="D274" i="35"/>
  <c r="C274" i="35"/>
  <c r="B274" i="35"/>
  <c r="B273" i="35"/>
  <c r="R272" i="35"/>
  <c r="E272" i="35"/>
  <c r="D272" i="35"/>
  <c r="C272" i="35"/>
  <c r="B272" i="35"/>
  <c r="E271" i="35"/>
  <c r="D271" i="35"/>
  <c r="C271" i="35"/>
  <c r="B271" i="35"/>
  <c r="E270" i="35"/>
  <c r="D270" i="35"/>
  <c r="C270" i="35"/>
  <c r="B270" i="35"/>
  <c r="E269" i="35"/>
  <c r="D269" i="35"/>
  <c r="C269" i="35"/>
  <c r="B269" i="35"/>
  <c r="D268" i="35"/>
  <c r="C268" i="35"/>
  <c r="B268" i="35"/>
  <c r="E267" i="35"/>
  <c r="D267" i="35"/>
  <c r="C267" i="35"/>
  <c r="B267" i="35"/>
  <c r="E266" i="35"/>
  <c r="D266" i="35"/>
  <c r="C266" i="35"/>
  <c r="B266" i="35"/>
  <c r="E265" i="35"/>
  <c r="D265" i="35"/>
  <c r="C265" i="35"/>
  <c r="B265" i="35"/>
  <c r="E264" i="35"/>
  <c r="D264" i="35"/>
  <c r="C264" i="35"/>
  <c r="B264" i="35"/>
  <c r="E263" i="35"/>
  <c r="D263" i="35"/>
  <c r="C263" i="35"/>
  <c r="B263" i="35"/>
  <c r="E262" i="35"/>
  <c r="D262" i="35"/>
  <c r="C262" i="35"/>
  <c r="B262" i="35"/>
  <c r="B261" i="35"/>
  <c r="E260" i="35"/>
  <c r="D260" i="35"/>
  <c r="C260" i="35"/>
  <c r="B260" i="35"/>
  <c r="E259" i="35"/>
  <c r="D259" i="35"/>
  <c r="C259" i="35"/>
  <c r="B259" i="35"/>
  <c r="E258" i="35"/>
  <c r="D258" i="35"/>
  <c r="C258" i="35"/>
  <c r="B258" i="35"/>
  <c r="E257" i="35"/>
  <c r="D257" i="35"/>
  <c r="C257" i="35"/>
  <c r="B257" i="35"/>
  <c r="E256" i="35"/>
  <c r="D256" i="35"/>
  <c r="C256" i="35"/>
  <c r="B256" i="35"/>
  <c r="E255" i="35"/>
  <c r="D255" i="35"/>
  <c r="C255" i="35"/>
  <c r="B255" i="35"/>
  <c r="E254" i="35"/>
  <c r="D254" i="35"/>
  <c r="C254" i="35"/>
  <c r="B254" i="35"/>
  <c r="E253" i="35"/>
  <c r="D253" i="35"/>
  <c r="C253" i="35"/>
  <c r="B253" i="35"/>
  <c r="E252" i="35"/>
  <c r="D252" i="35"/>
  <c r="C252" i="35"/>
  <c r="B252" i="35"/>
  <c r="E251" i="35"/>
  <c r="D251" i="35"/>
  <c r="C251" i="35"/>
  <c r="B251" i="35"/>
  <c r="E250" i="35"/>
  <c r="D250" i="35"/>
  <c r="C250" i="35"/>
  <c r="B250" i="35"/>
  <c r="E249" i="35"/>
  <c r="D249" i="35"/>
  <c r="C249" i="35"/>
  <c r="B249" i="35"/>
  <c r="B248" i="35"/>
  <c r="E247" i="35"/>
  <c r="D247" i="35"/>
  <c r="C247" i="35"/>
  <c r="B247" i="35"/>
  <c r="E246" i="35"/>
  <c r="D246" i="35"/>
  <c r="C246" i="35"/>
  <c r="B246" i="35"/>
  <c r="E245" i="35"/>
  <c r="D245" i="35"/>
  <c r="C245" i="35"/>
  <c r="B245" i="35"/>
  <c r="E244" i="35"/>
  <c r="D244" i="35"/>
  <c r="C244" i="35"/>
  <c r="B244" i="35"/>
  <c r="E243" i="35"/>
  <c r="D243" i="35"/>
  <c r="C243" i="35"/>
  <c r="B243" i="35"/>
  <c r="E242" i="35"/>
  <c r="D242" i="35"/>
  <c r="C242" i="35"/>
  <c r="B242" i="35"/>
  <c r="E241" i="35"/>
  <c r="D241" i="35"/>
  <c r="C241" i="35"/>
  <c r="B241" i="35"/>
  <c r="E240" i="35"/>
  <c r="D240" i="35"/>
  <c r="C240" i="35"/>
  <c r="B240" i="35"/>
  <c r="B239" i="35"/>
  <c r="B238" i="35"/>
  <c r="B237" i="35"/>
  <c r="B236" i="35"/>
  <c r="E235" i="35"/>
  <c r="D235" i="35"/>
  <c r="C235" i="35"/>
  <c r="B235" i="35"/>
  <c r="E234" i="35"/>
  <c r="D234" i="35"/>
  <c r="C234" i="35"/>
  <c r="B234" i="35"/>
  <c r="E233" i="35"/>
  <c r="D233" i="35"/>
  <c r="C233" i="35"/>
  <c r="B233" i="35"/>
  <c r="E232" i="35"/>
  <c r="D232" i="35"/>
  <c r="C232" i="35"/>
  <c r="B232" i="35"/>
  <c r="B231" i="35"/>
  <c r="E230" i="35"/>
  <c r="D230" i="35"/>
  <c r="C230" i="35"/>
  <c r="B230" i="35"/>
  <c r="E229" i="35"/>
  <c r="D229" i="35"/>
  <c r="C229" i="35"/>
  <c r="B229" i="35"/>
  <c r="E228" i="35"/>
  <c r="D228" i="35"/>
  <c r="C228" i="35"/>
  <c r="B228" i="35"/>
  <c r="E227" i="35"/>
  <c r="D227" i="35"/>
  <c r="C227" i="35"/>
  <c r="B227" i="35"/>
  <c r="E226" i="35"/>
  <c r="D226" i="35"/>
  <c r="C226" i="35"/>
  <c r="B226" i="35"/>
  <c r="E225" i="35"/>
  <c r="D225" i="35"/>
  <c r="C225" i="35"/>
  <c r="B225" i="35"/>
  <c r="E224" i="35"/>
  <c r="D224" i="35"/>
  <c r="C224" i="35"/>
  <c r="B224" i="35"/>
  <c r="E223" i="35"/>
  <c r="D223" i="35"/>
  <c r="C223" i="35"/>
  <c r="B223" i="35"/>
  <c r="E222" i="35"/>
  <c r="D222" i="35"/>
  <c r="C222" i="35"/>
  <c r="B222" i="35"/>
  <c r="E221" i="35"/>
  <c r="D221" i="35"/>
  <c r="C221" i="35"/>
  <c r="B221" i="35"/>
  <c r="E220" i="35"/>
  <c r="D220" i="35"/>
  <c r="C220" i="35"/>
  <c r="B220" i="35"/>
  <c r="E219" i="35"/>
  <c r="D219" i="35"/>
  <c r="C219" i="35"/>
  <c r="B219" i="35"/>
  <c r="E218" i="35"/>
  <c r="D218" i="35"/>
  <c r="C218" i="35"/>
  <c r="B218" i="35"/>
  <c r="E217" i="35"/>
  <c r="D217" i="35"/>
  <c r="C217" i="35"/>
  <c r="B217" i="35"/>
  <c r="E216" i="35"/>
  <c r="D216" i="35"/>
  <c r="C216" i="35"/>
  <c r="B216" i="35"/>
  <c r="E215" i="35"/>
  <c r="D215" i="35"/>
  <c r="C215" i="35"/>
  <c r="B215" i="35"/>
  <c r="E214" i="35"/>
  <c r="D214" i="35"/>
  <c r="C214" i="35"/>
  <c r="B214" i="35"/>
  <c r="E213" i="35"/>
  <c r="D213" i="35"/>
  <c r="C213" i="35"/>
  <c r="B213" i="35"/>
  <c r="B212" i="35"/>
  <c r="E211" i="35"/>
  <c r="D211" i="35"/>
  <c r="C211" i="35"/>
  <c r="B211" i="35"/>
  <c r="E210" i="35"/>
  <c r="D210" i="35"/>
  <c r="C210" i="35"/>
  <c r="B210" i="35"/>
  <c r="E209" i="35"/>
  <c r="D209" i="35"/>
  <c r="C209" i="35"/>
  <c r="B209" i="35"/>
  <c r="E208" i="35"/>
  <c r="D208" i="35"/>
  <c r="C208" i="35"/>
  <c r="B208" i="35"/>
  <c r="E207" i="35"/>
  <c r="D207" i="35"/>
  <c r="C207" i="35"/>
  <c r="B207" i="35"/>
  <c r="E206" i="35"/>
  <c r="D206" i="35"/>
  <c r="C206" i="35"/>
  <c r="B206" i="35"/>
  <c r="E205" i="35"/>
  <c r="D205" i="35"/>
  <c r="C205" i="35"/>
  <c r="B205" i="35"/>
  <c r="E204" i="35"/>
  <c r="D204" i="35"/>
  <c r="C204" i="35"/>
  <c r="B204" i="35"/>
  <c r="E203" i="35"/>
  <c r="D203" i="35"/>
  <c r="C203" i="35"/>
  <c r="B203" i="35"/>
  <c r="E202" i="35"/>
  <c r="D202" i="35"/>
  <c r="C202" i="35"/>
  <c r="B202" i="35"/>
  <c r="E201" i="35"/>
  <c r="D201" i="35"/>
  <c r="C201" i="35"/>
  <c r="B201" i="35"/>
  <c r="B200" i="35"/>
  <c r="E199" i="35"/>
  <c r="D199" i="35"/>
  <c r="C199" i="35"/>
  <c r="B199" i="35"/>
  <c r="E198" i="35"/>
  <c r="D198" i="35"/>
  <c r="C198" i="35"/>
  <c r="B198" i="35"/>
  <c r="E197" i="35"/>
  <c r="D197" i="35"/>
  <c r="C197" i="35"/>
  <c r="B197" i="35"/>
  <c r="E196" i="35"/>
  <c r="D196" i="35"/>
  <c r="C196" i="35"/>
  <c r="B196" i="35"/>
  <c r="E195" i="35"/>
  <c r="D195" i="35"/>
  <c r="C195" i="35"/>
  <c r="B195" i="35"/>
  <c r="E194" i="35"/>
  <c r="D194" i="35"/>
  <c r="C194" i="35"/>
  <c r="B194" i="35"/>
  <c r="E193" i="35"/>
  <c r="D193" i="35"/>
  <c r="C193" i="35"/>
  <c r="B193" i="35"/>
  <c r="E192" i="35"/>
  <c r="D192" i="35"/>
  <c r="C192" i="35"/>
  <c r="B192" i="35"/>
  <c r="E191" i="35"/>
  <c r="D191" i="35"/>
  <c r="C191" i="35"/>
  <c r="B191" i="35"/>
  <c r="E190" i="35"/>
  <c r="D190" i="35"/>
  <c r="C190" i="35"/>
  <c r="B190" i="35"/>
  <c r="E189" i="35"/>
  <c r="D189" i="35"/>
  <c r="C189" i="35"/>
  <c r="B189" i="35"/>
  <c r="E188" i="35"/>
  <c r="D188" i="35"/>
  <c r="C188" i="35"/>
  <c r="B188" i="35"/>
  <c r="E187" i="35"/>
  <c r="D187" i="35"/>
  <c r="C187" i="35"/>
  <c r="B187" i="35"/>
  <c r="E186" i="35"/>
  <c r="D186" i="35"/>
  <c r="C186" i="35"/>
  <c r="B186" i="35"/>
  <c r="E185" i="35"/>
  <c r="D185" i="35"/>
  <c r="C185" i="35"/>
  <c r="B185" i="35"/>
  <c r="E184" i="35"/>
  <c r="D184" i="35"/>
  <c r="C184" i="35"/>
  <c r="B184" i="35"/>
  <c r="E183" i="35"/>
  <c r="D183" i="35"/>
  <c r="C183" i="35"/>
  <c r="B183" i="35"/>
  <c r="B182" i="35"/>
  <c r="E181" i="35"/>
  <c r="D181" i="35"/>
  <c r="C181" i="35"/>
  <c r="B181" i="35"/>
  <c r="E180" i="35"/>
  <c r="D180" i="35"/>
  <c r="C180" i="35"/>
  <c r="B180" i="35"/>
  <c r="E179" i="35"/>
  <c r="D179" i="35"/>
  <c r="C179" i="35"/>
  <c r="B179" i="35"/>
  <c r="E178" i="35"/>
  <c r="D178" i="35"/>
  <c r="C178" i="35"/>
  <c r="B178" i="35"/>
  <c r="E177" i="35"/>
  <c r="D177" i="35"/>
  <c r="C177" i="35"/>
  <c r="B177" i="35"/>
  <c r="E176" i="35"/>
  <c r="D176" i="35"/>
  <c r="C176" i="35"/>
  <c r="B176" i="35"/>
  <c r="E175" i="35"/>
  <c r="D175" i="35"/>
  <c r="C175" i="35"/>
  <c r="B175" i="35"/>
  <c r="E174" i="35"/>
  <c r="D174" i="35"/>
  <c r="C174" i="35"/>
  <c r="B174" i="35"/>
  <c r="E173" i="35"/>
  <c r="D173" i="35"/>
  <c r="C173" i="35"/>
  <c r="B173" i="35"/>
  <c r="E172" i="35"/>
  <c r="D172" i="35"/>
  <c r="C172" i="35"/>
  <c r="B172" i="35"/>
  <c r="E171" i="35"/>
  <c r="D171" i="35"/>
  <c r="C171" i="35"/>
  <c r="B171" i="35"/>
  <c r="E170" i="35"/>
  <c r="D170" i="35"/>
  <c r="C170" i="35"/>
  <c r="B170" i="35"/>
  <c r="E169" i="35"/>
  <c r="D169" i="35"/>
  <c r="C169" i="35"/>
  <c r="B169" i="35"/>
  <c r="E168" i="35"/>
  <c r="D168" i="35"/>
  <c r="C168" i="35"/>
  <c r="B168" i="35"/>
  <c r="B167" i="35"/>
  <c r="E166" i="35"/>
  <c r="D166" i="35"/>
  <c r="C166" i="35"/>
  <c r="B166" i="35"/>
  <c r="E165" i="35"/>
  <c r="D165" i="35"/>
  <c r="C165" i="35"/>
  <c r="B165" i="35"/>
  <c r="E164" i="35"/>
  <c r="D164" i="35"/>
  <c r="C164" i="35"/>
  <c r="B164" i="35"/>
  <c r="E163" i="35"/>
  <c r="D163" i="35"/>
  <c r="C163" i="35"/>
  <c r="B163" i="35"/>
  <c r="E162" i="35"/>
  <c r="D162" i="35"/>
  <c r="C162" i="35"/>
  <c r="B162" i="35"/>
  <c r="E161" i="35"/>
  <c r="D161" i="35"/>
  <c r="C161" i="35"/>
  <c r="B161" i="35"/>
  <c r="E160" i="35"/>
  <c r="D160" i="35"/>
  <c r="C160" i="35"/>
  <c r="B160" i="35"/>
  <c r="E159" i="35"/>
  <c r="D159" i="35"/>
  <c r="C159" i="35"/>
  <c r="B159" i="35"/>
  <c r="E158" i="35"/>
  <c r="D158" i="35"/>
  <c r="C158" i="35"/>
  <c r="B158" i="35"/>
  <c r="E157" i="35"/>
  <c r="D157" i="35"/>
  <c r="C157" i="35"/>
  <c r="B157" i="35"/>
  <c r="E156" i="35"/>
  <c r="D156" i="35"/>
  <c r="C156" i="35"/>
  <c r="B156" i="35"/>
  <c r="E155" i="35"/>
  <c r="D155" i="35"/>
  <c r="C155" i="35"/>
  <c r="B155" i="35"/>
  <c r="E154" i="35"/>
  <c r="D154" i="35"/>
  <c r="C154" i="35"/>
  <c r="B154" i="35"/>
  <c r="E153" i="35"/>
  <c r="D153" i="35"/>
  <c r="C153" i="35"/>
  <c r="B153" i="35"/>
  <c r="E152" i="35"/>
  <c r="D152" i="35"/>
  <c r="C152" i="35"/>
  <c r="B152" i="35"/>
  <c r="E151" i="35"/>
  <c r="D151" i="35"/>
  <c r="C151" i="35"/>
  <c r="B151" i="35"/>
  <c r="E150" i="35"/>
  <c r="D150" i="35"/>
  <c r="C150" i="35"/>
  <c r="B150" i="35"/>
  <c r="E149" i="35"/>
  <c r="D149" i="35"/>
  <c r="C149" i="35"/>
  <c r="B149" i="35"/>
  <c r="E148" i="35"/>
  <c r="D148" i="35"/>
  <c r="C148" i="35"/>
  <c r="B148" i="35"/>
  <c r="E147" i="35"/>
  <c r="D147" i="35"/>
  <c r="C147" i="35"/>
  <c r="B147" i="35"/>
  <c r="E146" i="35"/>
  <c r="C146" i="35"/>
  <c r="B146" i="35"/>
  <c r="B145" i="35"/>
  <c r="E144" i="35"/>
  <c r="D144" i="35"/>
  <c r="C144" i="35"/>
  <c r="B144" i="35"/>
  <c r="E143" i="35"/>
  <c r="D143" i="35"/>
  <c r="C143" i="35"/>
  <c r="B143" i="35"/>
  <c r="E142" i="35"/>
  <c r="D142" i="35"/>
  <c r="C142" i="35"/>
  <c r="B142" i="35"/>
  <c r="E141" i="35"/>
  <c r="D141" i="35"/>
  <c r="C141" i="35"/>
  <c r="B141" i="35"/>
  <c r="E140" i="35"/>
  <c r="D140" i="35"/>
  <c r="C140" i="35"/>
  <c r="B140" i="35"/>
  <c r="E139" i="35"/>
  <c r="D139" i="35"/>
  <c r="C139" i="35"/>
  <c r="B139" i="35"/>
  <c r="E138" i="35"/>
  <c r="D138" i="35"/>
  <c r="C138" i="35"/>
  <c r="B138" i="35"/>
  <c r="E137" i="35"/>
  <c r="D137" i="35"/>
  <c r="C137" i="35"/>
  <c r="B137" i="35"/>
  <c r="E136" i="35"/>
  <c r="D136" i="35"/>
  <c r="C136" i="35"/>
  <c r="B136" i="35"/>
  <c r="E135" i="35"/>
  <c r="D135" i="35"/>
  <c r="C135" i="35"/>
  <c r="B135" i="35"/>
  <c r="E134" i="35"/>
  <c r="D134" i="35"/>
  <c r="C134" i="35"/>
  <c r="B134" i="35"/>
  <c r="E133" i="35"/>
  <c r="D133" i="35"/>
  <c r="C133" i="35"/>
  <c r="B133" i="35"/>
  <c r="E132" i="35"/>
  <c r="D132" i="35"/>
  <c r="C132" i="35"/>
  <c r="B132" i="35"/>
  <c r="B131" i="35"/>
  <c r="E130" i="35"/>
  <c r="D130" i="35"/>
  <c r="C130" i="35"/>
  <c r="B130" i="35"/>
  <c r="E129" i="35"/>
  <c r="D129" i="35"/>
  <c r="C129" i="35"/>
  <c r="B129" i="35"/>
  <c r="E128" i="35"/>
  <c r="D128" i="35"/>
  <c r="C128" i="35"/>
  <c r="B128" i="35"/>
  <c r="E127" i="35"/>
  <c r="D127" i="35"/>
  <c r="C127" i="35"/>
  <c r="B127" i="35"/>
  <c r="E126" i="35"/>
  <c r="D126" i="35"/>
  <c r="C126" i="35"/>
  <c r="B126" i="35"/>
  <c r="E125" i="35"/>
  <c r="D125" i="35"/>
  <c r="C125" i="35"/>
  <c r="B125" i="35"/>
  <c r="E124" i="35"/>
  <c r="D124" i="35"/>
  <c r="C124" i="35"/>
  <c r="B124" i="35"/>
  <c r="E123" i="35"/>
  <c r="D123" i="35"/>
  <c r="C123" i="35"/>
  <c r="B123" i="35"/>
  <c r="E122" i="35"/>
  <c r="D122" i="35"/>
  <c r="C122" i="35"/>
  <c r="B122" i="35"/>
  <c r="E121" i="35"/>
  <c r="D121" i="35"/>
  <c r="C121" i="35"/>
  <c r="B121" i="35"/>
  <c r="E120" i="35"/>
  <c r="D120" i="35"/>
  <c r="C120" i="35"/>
  <c r="B120" i="35"/>
  <c r="E119" i="35"/>
  <c r="D119" i="35"/>
  <c r="C119" i="35"/>
  <c r="B119" i="35"/>
  <c r="E118" i="35"/>
  <c r="D118" i="35"/>
  <c r="C118" i="35"/>
  <c r="B118" i="35"/>
  <c r="E117" i="35"/>
  <c r="D117" i="35"/>
  <c r="C117" i="35"/>
  <c r="B117" i="35"/>
  <c r="E116" i="35"/>
  <c r="D116" i="35"/>
  <c r="C116" i="35"/>
  <c r="B116" i="35"/>
  <c r="E115" i="35"/>
  <c r="D115" i="35"/>
  <c r="C115" i="35"/>
  <c r="B115" i="35"/>
  <c r="E114" i="35"/>
  <c r="D114" i="35"/>
  <c r="C114" i="35"/>
  <c r="B114" i="35"/>
  <c r="E113" i="35"/>
  <c r="D113" i="35"/>
  <c r="C113" i="35"/>
  <c r="B113" i="35"/>
  <c r="E112" i="35"/>
  <c r="D112" i="35"/>
  <c r="C112" i="35"/>
  <c r="B112" i="35"/>
  <c r="E111" i="35"/>
  <c r="D111" i="35"/>
  <c r="C111" i="35"/>
  <c r="B111" i="35"/>
  <c r="E110" i="35"/>
  <c r="D110" i="35"/>
  <c r="B110" i="35"/>
  <c r="E109" i="35"/>
  <c r="D109" i="35"/>
  <c r="C109" i="35"/>
  <c r="B109" i="35"/>
  <c r="D108" i="35"/>
  <c r="C108" i="35"/>
  <c r="B108" i="35"/>
  <c r="E107" i="35"/>
  <c r="D107" i="35"/>
  <c r="C107" i="35"/>
  <c r="B107" i="35"/>
  <c r="E106" i="35"/>
  <c r="D106" i="35"/>
  <c r="C106" i="35"/>
  <c r="B106" i="35"/>
  <c r="E105" i="35"/>
  <c r="D105" i="35"/>
  <c r="C105" i="35"/>
  <c r="B105" i="35"/>
  <c r="E104" i="35"/>
  <c r="D104" i="35"/>
  <c r="C104" i="35"/>
  <c r="B104" i="35"/>
  <c r="E103" i="35"/>
  <c r="D103" i="35"/>
  <c r="C103" i="35"/>
  <c r="B103" i="35"/>
  <c r="E102" i="35"/>
  <c r="D102" i="35"/>
  <c r="C102" i="35"/>
  <c r="B102" i="35"/>
  <c r="E101" i="35"/>
  <c r="D101" i="35"/>
  <c r="B101" i="35"/>
  <c r="B100" i="35"/>
  <c r="E99" i="35"/>
  <c r="D99" i="35"/>
  <c r="C99" i="35"/>
  <c r="B99" i="35"/>
  <c r="E98" i="35"/>
  <c r="D98" i="35"/>
  <c r="C98" i="35"/>
  <c r="B98" i="35"/>
  <c r="E97" i="35"/>
  <c r="D97" i="35"/>
  <c r="C97" i="35"/>
  <c r="B97" i="35"/>
  <c r="E96" i="35"/>
  <c r="D96" i="35"/>
  <c r="C96" i="35"/>
  <c r="B96" i="35"/>
  <c r="E95" i="35"/>
  <c r="D95" i="35"/>
  <c r="C95" i="35"/>
  <c r="B95" i="35"/>
  <c r="E94" i="35"/>
  <c r="D94" i="35"/>
  <c r="C94" i="35"/>
  <c r="B94" i="35"/>
  <c r="E93" i="35"/>
  <c r="D93" i="35"/>
  <c r="C93" i="35"/>
  <c r="B93" i="35"/>
  <c r="E92" i="35"/>
  <c r="D92" i="35"/>
  <c r="C92" i="35"/>
  <c r="B92" i="35"/>
  <c r="E91" i="35"/>
  <c r="D91" i="35"/>
  <c r="C91" i="35"/>
  <c r="B91" i="35"/>
  <c r="E90" i="35"/>
  <c r="D90" i="35"/>
  <c r="C90" i="35"/>
  <c r="B90" i="35"/>
  <c r="E89" i="35"/>
  <c r="D89" i="35"/>
  <c r="C89" i="35"/>
  <c r="B89" i="35"/>
  <c r="B88" i="35"/>
  <c r="R87" i="35"/>
  <c r="E87" i="35"/>
  <c r="D87" i="35"/>
  <c r="C87" i="35"/>
  <c r="B87" i="35"/>
  <c r="B86" i="35"/>
  <c r="B85" i="35"/>
  <c r="E84" i="35"/>
  <c r="D84" i="35"/>
  <c r="C84" i="35"/>
  <c r="B84" i="35"/>
  <c r="E83" i="35"/>
  <c r="D83" i="35"/>
  <c r="C83" i="35"/>
  <c r="B83" i="35"/>
  <c r="E82" i="35"/>
  <c r="D82" i="35"/>
  <c r="C82" i="35"/>
  <c r="B82" i="35"/>
  <c r="E81" i="35"/>
  <c r="D81" i="35"/>
  <c r="C81" i="35"/>
  <c r="B81" i="35"/>
  <c r="E80" i="35"/>
  <c r="D80" i="35"/>
  <c r="C80" i="35"/>
  <c r="B80" i="35"/>
  <c r="E79" i="35"/>
  <c r="D79" i="35"/>
  <c r="C79" i="35"/>
  <c r="B79" i="35"/>
  <c r="E78" i="35"/>
  <c r="D78" i="35"/>
  <c r="C78" i="35"/>
  <c r="B78" i="35"/>
  <c r="E77" i="35"/>
  <c r="D77" i="35"/>
  <c r="C77" i="35"/>
  <c r="B77" i="35"/>
  <c r="E76" i="35"/>
  <c r="D76" i="35"/>
  <c r="C76" i="35"/>
  <c r="B76" i="35"/>
  <c r="E75" i="35"/>
  <c r="D75" i="35"/>
  <c r="C75" i="35"/>
  <c r="B75" i="35"/>
  <c r="E74" i="35"/>
  <c r="D74" i="35"/>
  <c r="C74" i="35"/>
  <c r="B74" i="35"/>
  <c r="E73" i="35"/>
  <c r="D73" i="35"/>
  <c r="C73" i="35"/>
  <c r="B73" i="35"/>
  <c r="E72" i="35"/>
  <c r="D72" i="35"/>
  <c r="C72" i="35"/>
  <c r="B72" i="35"/>
  <c r="E71" i="35"/>
  <c r="D71" i="35"/>
  <c r="C71" i="35"/>
  <c r="B71" i="35"/>
  <c r="B70" i="35"/>
  <c r="E69" i="35"/>
  <c r="D69" i="35"/>
  <c r="C69" i="35"/>
  <c r="B69" i="35"/>
  <c r="E68" i="35"/>
  <c r="D68" i="35"/>
  <c r="C68" i="35"/>
  <c r="B68" i="35"/>
  <c r="E67" i="35"/>
  <c r="D67" i="35"/>
  <c r="C67" i="35"/>
  <c r="B67" i="35"/>
  <c r="E66" i="35"/>
  <c r="D66" i="35"/>
  <c r="C66" i="35"/>
  <c r="B66" i="35"/>
  <c r="E65" i="35"/>
  <c r="D65" i="35"/>
  <c r="C65" i="35"/>
  <c r="B65" i="35"/>
  <c r="E64" i="35"/>
  <c r="D64" i="35"/>
  <c r="C64" i="35"/>
  <c r="B64" i="35"/>
  <c r="E63" i="35"/>
  <c r="D63" i="35"/>
  <c r="C63" i="35"/>
  <c r="B63" i="35"/>
  <c r="E62" i="35"/>
  <c r="D62" i="35"/>
  <c r="C62" i="35"/>
  <c r="B62" i="35"/>
  <c r="E61" i="35"/>
  <c r="D61" i="35"/>
  <c r="C61" i="35"/>
  <c r="B61" i="35"/>
  <c r="B60" i="35"/>
  <c r="E59" i="35"/>
  <c r="D59" i="35"/>
  <c r="C59" i="35"/>
  <c r="B59" i="35"/>
  <c r="E58" i="35"/>
  <c r="D58" i="35"/>
  <c r="C58" i="35"/>
  <c r="B58" i="35"/>
  <c r="E57" i="35"/>
  <c r="D57" i="35"/>
  <c r="C57" i="35"/>
  <c r="B57" i="35"/>
  <c r="E56" i="35"/>
  <c r="D56" i="35"/>
  <c r="C56" i="35"/>
  <c r="B56" i="35"/>
  <c r="E55" i="35"/>
  <c r="D55" i="35"/>
  <c r="C55" i="35"/>
  <c r="B55" i="35"/>
  <c r="E54" i="35"/>
  <c r="D54" i="35"/>
  <c r="C54" i="35"/>
  <c r="B54" i="35"/>
  <c r="E53" i="35"/>
  <c r="D53" i="35"/>
  <c r="C53" i="35"/>
  <c r="B53" i="35"/>
  <c r="B52" i="35"/>
  <c r="E51" i="35"/>
  <c r="D51" i="35"/>
  <c r="C51" i="35"/>
  <c r="B51" i="35"/>
  <c r="E50" i="35"/>
  <c r="D50" i="35"/>
  <c r="C50" i="35"/>
  <c r="B50" i="35"/>
  <c r="E49" i="35"/>
  <c r="D49" i="35"/>
  <c r="C49" i="35"/>
  <c r="B49" i="35"/>
  <c r="B48" i="35"/>
  <c r="E47" i="35"/>
  <c r="D47" i="35"/>
  <c r="C47" i="35"/>
  <c r="B47" i="35"/>
  <c r="E46" i="35"/>
  <c r="D46" i="35"/>
  <c r="C46" i="35"/>
  <c r="B46" i="35"/>
  <c r="E45" i="35"/>
  <c r="D45" i="35"/>
  <c r="C45" i="35"/>
  <c r="B45" i="35"/>
  <c r="E44" i="35"/>
  <c r="D44" i="35"/>
  <c r="C44" i="35"/>
  <c r="B44" i="35"/>
  <c r="E43" i="35"/>
  <c r="D43" i="35"/>
  <c r="C43" i="35"/>
  <c r="B43" i="35"/>
  <c r="E42" i="35"/>
  <c r="D42" i="35"/>
  <c r="C42" i="35"/>
  <c r="B42" i="35"/>
  <c r="E41" i="35"/>
  <c r="D41" i="35"/>
  <c r="C41" i="35"/>
  <c r="B41" i="35"/>
  <c r="E40" i="35"/>
  <c r="D40" i="35"/>
  <c r="C40" i="35"/>
  <c r="B40" i="35"/>
  <c r="E39" i="35"/>
  <c r="D39" i="35"/>
  <c r="C39" i="35"/>
  <c r="B39" i="35"/>
  <c r="E38" i="35"/>
  <c r="D38" i="35"/>
  <c r="C38" i="35"/>
  <c r="B38" i="35"/>
  <c r="E37" i="35"/>
  <c r="C37" i="35"/>
  <c r="B37" i="35"/>
  <c r="E36" i="35"/>
  <c r="C36" i="35"/>
  <c r="B36" i="35"/>
  <c r="C35" i="35"/>
  <c r="B35" i="35"/>
  <c r="C34" i="35"/>
  <c r="B34" i="35"/>
  <c r="C33" i="35"/>
  <c r="B33" i="35"/>
  <c r="C32" i="35"/>
  <c r="B32" i="35"/>
  <c r="C31" i="35"/>
  <c r="B31" i="35"/>
  <c r="C30" i="35"/>
  <c r="B30" i="35"/>
  <c r="C29" i="35"/>
  <c r="B29" i="35"/>
  <c r="B28" i="35"/>
  <c r="B27" i="35"/>
  <c r="C16" i="35"/>
  <c r="O16" i="35" s="1"/>
  <c r="B16" i="35"/>
  <c r="C15" i="35"/>
  <c r="O15" i="35" s="1"/>
  <c r="B15" i="35"/>
  <c r="C14" i="35"/>
  <c r="O14" i="35" s="1"/>
  <c r="B14" i="35"/>
  <c r="C13" i="35"/>
  <c r="O13" i="35" s="1"/>
  <c r="B13" i="35"/>
  <c r="C12" i="35"/>
  <c r="O12" i="35" s="1"/>
  <c r="B12" i="35"/>
  <c r="C11" i="35"/>
  <c r="O11" i="35" s="1"/>
  <c r="B11" i="35"/>
  <c r="C10" i="35"/>
  <c r="O10" i="35" s="1"/>
  <c r="B10" i="35"/>
  <c r="C9" i="35"/>
  <c r="O9" i="35" s="1"/>
  <c r="B9" i="35"/>
  <c r="C8" i="35"/>
  <c r="O8" i="35" s="1"/>
  <c r="B8" i="35"/>
  <c r="C7" i="35"/>
  <c r="O7" i="35" s="1"/>
  <c r="B7" i="35"/>
  <c r="C6" i="35"/>
  <c r="O6" i="35" s="1"/>
  <c r="B6" i="35"/>
  <c r="C5" i="35"/>
  <c r="O5" i="35" s="1"/>
  <c r="B5" i="35"/>
  <c r="C4" i="35"/>
  <c r="O4" i="35" s="1"/>
  <c r="B4" i="35"/>
  <c r="C3" i="35"/>
  <c r="O3" i="35" s="1"/>
  <c r="B3" i="35"/>
  <c r="B2" i="35"/>
  <c r="B2" i="33"/>
  <c r="B3" i="33"/>
  <c r="C3" i="33"/>
  <c r="O3" i="33" s="1"/>
  <c r="B13" i="33"/>
  <c r="C13" i="33"/>
  <c r="O13" i="33" s="1"/>
  <c r="B14" i="33"/>
  <c r="C14" i="33"/>
  <c r="O14" i="33" s="1"/>
  <c r="B15" i="33"/>
  <c r="C15" i="33"/>
  <c r="O15" i="33" s="1"/>
  <c r="B16" i="33"/>
  <c r="C16" i="33"/>
  <c r="O16" i="33" s="1"/>
  <c r="B17" i="33"/>
  <c r="C17" i="33"/>
  <c r="O17" i="33" s="1"/>
  <c r="B18" i="33"/>
  <c r="C18" i="33"/>
  <c r="O18" i="33" s="1"/>
  <c r="B19" i="33"/>
  <c r="C19" i="33"/>
  <c r="B20" i="33"/>
  <c r="C20" i="33"/>
  <c r="B21" i="33"/>
  <c r="C21" i="33"/>
  <c r="B22" i="33"/>
  <c r="C22" i="33"/>
  <c r="B23" i="33"/>
  <c r="C23" i="33"/>
  <c r="B24" i="33"/>
  <c r="C24" i="33"/>
  <c r="B25" i="33"/>
  <c r="C25" i="33"/>
  <c r="B26" i="33"/>
  <c r="C26" i="33"/>
  <c r="B27" i="33"/>
  <c r="B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D38" i="33"/>
  <c r="B39" i="33"/>
  <c r="C39" i="33"/>
  <c r="D39" i="33"/>
  <c r="B40" i="33"/>
  <c r="C40" i="33"/>
  <c r="D40" i="33"/>
  <c r="B41" i="33"/>
  <c r="C41" i="33"/>
  <c r="D41" i="33"/>
  <c r="B42" i="33"/>
  <c r="C42" i="33"/>
  <c r="D42" i="33"/>
  <c r="B43" i="33"/>
  <c r="C43" i="33"/>
  <c r="D43" i="33"/>
  <c r="B44" i="33"/>
  <c r="C44" i="33"/>
  <c r="D44" i="33"/>
  <c r="B45" i="33"/>
  <c r="C45" i="33"/>
  <c r="D45" i="33"/>
  <c r="B46" i="33"/>
  <c r="C46" i="33"/>
  <c r="D46" i="33"/>
  <c r="B47" i="33"/>
  <c r="C47" i="33"/>
  <c r="D47" i="33"/>
  <c r="B48" i="33"/>
  <c r="B49" i="33"/>
  <c r="C49" i="33"/>
  <c r="D49" i="33"/>
  <c r="B50" i="33"/>
  <c r="C50" i="33"/>
  <c r="D50" i="33"/>
  <c r="B51" i="33"/>
  <c r="C51" i="33"/>
  <c r="D51" i="33"/>
  <c r="B52" i="33"/>
  <c r="B53" i="33"/>
  <c r="C53" i="33"/>
  <c r="D53" i="33"/>
  <c r="B54" i="33"/>
  <c r="C54" i="33"/>
  <c r="D54" i="33"/>
  <c r="B55" i="33"/>
  <c r="C55" i="33"/>
  <c r="D55" i="33"/>
  <c r="B56" i="33"/>
  <c r="C56" i="33"/>
  <c r="D56" i="33"/>
  <c r="B57" i="33"/>
  <c r="C57" i="33"/>
  <c r="D57" i="33"/>
  <c r="B58" i="33"/>
  <c r="C58" i="33"/>
  <c r="D58" i="33"/>
  <c r="B59" i="33"/>
  <c r="C59" i="33"/>
  <c r="D59" i="33"/>
  <c r="B60" i="33"/>
  <c r="B61" i="33"/>
  <c r="C61" i="33"/>
  <c r="D61" i="33"/>
  <c r="B62" i="33"/>
  <c r="C62" i="33"/>
  <c r="D62" i="33"/>
  <c r="B63" i="33"/>
  <c r="C63" i="33"/>
  <c r="D63" i="33"/>
  <c r="B64" i="33"/>
  <c r="C64" i="33"/>
  <c r="D64" i="33"/>
  <c r="B65" i="33"/>
  <c r="C65" i="33"/>
  <c r="D65" i="33"/>
  <c r="B66" i="33"/>
  <c r="C66" i="33"/>
  <c r="D66" i="33"/>
  <c r="B67" i="33"/>
  <c r="C67" i="33"/>
  <c r="D67" i="33"/>
  <c r="B68" i="33"/>
  <c r="C68" i="33"/>
  <c r="D68" i="33"/>
  <c r="B69" i="33"/>
  <c r="C69" i="33"/>
  <c r="D69" i="33"/>
  <c r="B70" i="33"/>
  <c r="B71" i="33"/>
  <c r="C71" i="33"/>
  <c r="D71" i="33"/>
  <c r="B72" i="33"/>
  <c r="C72" i="33"/>
  <c r="D72" i="33"/>
  <c r="B73" i="33"/>
  <c r="C73" i="33"/>
  <c r="D73" i="33"/>
  <c r="B74" i="33"/>
  <c r="C74" i="33"/>
  <c r="D74" i="33"/>
  <c r="B75" i="33"/>
  <c r="C75" i="33"/>
  <c r="D75" i="33"/>
  <c r="B76" i="33"/>
  <c r="C76" i="33"/>
  <c r="D76" i="33"/>
  <c r="B77" i="33"/>
  <c r="C77" i="33"/>
  <c r="D77" i="33"/>
  <c r="B78" i="33"/>
  <c r="C78" i="33"/>
  <c r="D78" i="33"/>
  <c r="B79" i="33"/>
  <c r="C79" i="33"/>
  <c r="D79" i="33"/>
  <c r="B80" i="33"/>
  <c r="C80" i="33"/>
  <c r="D80" i="33"/>
  <c r="B81" i="33"/>
  <c r="C81" i="33"/>
  <c r="D81" i="33"/>
  <c r="B82" i="33"/>
  <c r="C82" i="33"/>
  <c r="D82" i="33"/>
  <c r="B83" i="33"/>
  <c r="C83" i="33"/>
  <c r="D83" i="33"/>
  <c r="B84" i="33"/>
  <c r="C84" i="33"/>
  <c r="D84" i="33"/>
  <c r="B85" i="33"/>
  <c r="B86" i="33"/>
  <c r="B87" i="33"/>
  <c r="C87" i="33"/>
  <c r="D87" i="33"/>
  <c r="R87" i="33"/>
  <c r="B88" i="33"/>
  <c r="B89" i="33"/>
  <c r="C89" i="33"/>
  <c r="D89" i="33"/>
  <c r="B90" i="33"/>
  <c r="C90" i="33"/>
  <c r="D90" i="33"/>
  <c r="B91" i="33"/>
  <c r="C91" i="33"/>
  <c r="D91" i="33"/>
  <c r="B92" i="33"/>
  <c r="C92" i="33"/>
  <c r="D92" i="33"/>
  <c r="B93" i="33"/>
  <c r="C93" i="33"/>
  <c r="D93" i="33"/>
  <c r="B94" i="33"/>
  <c r="C94" i="33"/>
  <c r="D94" i="33"/>
  <c r="B95" i="33"/>
  <c r="C95" i="33"/>
  <c r="D95" i="33"/>
  <c r="B96" i="33"/>
  <c r="C96" i="33"/>
  <c r="D96" i="33"/>
  <c r="B97" i="33"/>
  <c r="C97" i="33"/>
  <c r="D97" i="33"/>
  <c r="B98" i="33"/>
  <c r="C98" i="33"/>
  <c r="D98" i="33"/>
  <c r="B99" i="33"/>
  <c r="C99" i="33"/>
  <c r="D99" i="33"/>
  <c r="B100" i="33"/>
  <c r="B101" i="33"/>
  <c r="D101" i="33"/>
  <c r="B102" i="33"/>
  <c r="C102" i="33"/>
  <c r="D102" i="33"/>
  <c r="B103" i="33"/>
  <c r="C103" i="33"/>
  <c r="D103" i="33"/>
  <c r="B104" i="33"/>
  <c r="C104" i="33"/>
  <c r="D104" i="33"/>
  <c r="B105" i="33"/>
  <c r="C105" i="33"/>
  <c r="D105" i="33"/>
  <c r="B106" i="33"/>
  <c r="C106" i="33"/>
  <c r="D106" i="33"/>
  <c r="B107" i="33"/>
  <c r="C107" i="33"/>
  <c r="D107" i="33"/>
  <c r="B108" i="33"/>
  <c r="C108" i="33"/>
  <c r="D108" i="33"/>
  <c r="B109" i="33"/>
  <c r="C109" i="33"/>
  <c r="D109" i="33"/>
  <c r="B110" i="33"/>
  <c r="D110" i="33"/>
  <c r="B111" i="33"/>
  <c r="C111" i="33"/>
  <c r="D111" i="33"/>
  <c r="B112" i="33"/>
  <c r="C112" i="33"/>
  <c r="D112" i="33"/>
  <c r="B113" i="33"/>
  <c r="C113" i="33"/>
  <c r="D113" i="33"/>
  <c r="B114" i="33"/>
  <c r="C114" i="33"/>
  <c r="D114" i="33"/>
  <c r="B115" i="33"/>
  <c r="C115" i="33"/>
  <c r="D115" i="33"/>
  <c r="B116" i="33"/>
  <c r="C116" i="33"/>
  <c r="D116" i="33"/>
  <c r="B117" i="33"/>
  <c r="C117" i="33"/>
  <c r="D117" i="33"/>
  <c r="B118" i="33"/>
  <c r="C118" i="33"/>
  <c r="D118" i="33"/>
  <c r="B119" i="33"/>
  <c r="C119" i="33"/>
  <c r="D119" i="33"/>
  <c r="B120" i="33"/>
  <c r="C120" i="33"/>
  <c r="D120" i="33"/>
  <c r="B121" i="33"/>
  <c r="C121" i="33"/>
  <c r="D121" i="33"/>
  <c r="B122" i="33"/>
  <c r="C122" i="33"/>
  <c r="D122" i="33"/>
  <c r="B123" i="33"/>
  <c r="C123" i="33"/>
  <c r="D123" i="33"/>
  <c r="B124" i="33"/>
  <c r="C124" i="33"/>
  <c r="D124" i="33"/>
  <c r="B125" i="33"/>
  <c r="C125" i="33"/>
  <c r="D125" i="33"/>
  <c r="B126" i="33"/>
  <c r="C126" i="33"/>
  <c r="D126" i="33"/>
  <c r="B127" i="33"/>
  <c r="C127" i="33"/>
  <c r="D127" i="33"/>
  <c r="B128" i="33"/>
  <c r="C128" i="33"/>
  <c r="D128" i="33"/>
  <c r="B129" i="33"/>
  <c r="C129" i="33"/>
  <c r="D129" i="33"/>
  <c r="B130" i="33"/>
  <c r="C130" i="33"/>
  <c r="D130" i="33"/>
  <c r="B131" i="33"/>
  <c r="B132" i="33"/>
  <c r="C132" i="33"/>
  <c r="D132" i="33"/>
  <c r="B133" i="33"/>
  <c r="C133" i="33"/>
  <c r="D133" i="33"/>
  <c r="B134" i="33"/>
  <c r="C134" i="33"/>
  <c r="D134" i="33"/>
  <c r="B135" i="33"/>
  <c r="C135" i="33"/>
  <c r="D135" i="33"/>
  <c r="B136" i="33"/>
  <c r="C136" i="33"/>
  <c r="D136" i="33"/>
  <c r="B137" i="33"/>
  <c r="C137" i="33"/>
  <c r="D137" i="33"/>
  <c r="B138" i="33"/>
  <c r="C138" i="33"/>
  <c r="D138" i="33"/>
  <c r="B139" i="33"/>
  <c r="C139" i="33"/>
  <c r="D139" i="33"/>
  <c r="B140" i="33"/>
  <c r="C140" i="33"/>
  <c r="D140" i="33"/>
  <c r="B141" i="33"/>
  <c r="C141" i="33"/>
  <c r="D141" i="33"/>
  <c r="B142" i="33"/>
  <c r="C142" i="33"/>
  <c r="D142" i="33"/>
  <c r="B143" i="33"/>
  <c r="C143" i="33"/>
  <c r="D143" i="33"/>
  <c r="B144" i="33"/>
  <c r="C144" i="33"/>
  <c r="D144" i="33"/>
  <c r="B145" i="33"/>
  <c r="B146" i="33"/>
  <c r="C146" i="33"/>
  <c r="B147" i="33"/>
  <c r="C147" i="33"/>
  <c r="D147" i="33"/>
  <c r="B148" i="33"/>
  <c r="C148" i="33"/>
  <c r="D148" i="33"/>
  <c r="B149" i="33"/>
  <c r="C149" i="33"/>
  <c r="D149" i="33"/>
  <c r="B150" i="33"/>
  <c r="C150" i="33"/>
  <c r="D150" i="33"/>
  <c r="B151" i="33"/>
  <c r="C151" i="33"/>
  <c r="D151" i="33"/>
  <c r="B152" i="33"/>
  <c r="C152" i="33"/>
  <c r="D152" i="33"/>
  <c r="B153" i="33"/>
  <c r="C153" i="33"/>
  <c r="D153" i="33"/>
  <c r="B154" i="33"/>
  <c r="C154" i="33"/>
  <c r="D154" i="33"/>
  <c r="B155" i="33"/>
  <c r="C155" i="33"/>
  <c r="D155" i="33"/>
  <c r="B156" i="33"/>
  <c r="C156" i="33"/>
  <c r="D156" i="33"/>
  <c r="B157" i="33"/>
  <c r="C157" i="33"/>
  <c r="D157" i="33"/>
  <c r="B158" i="33"/>
  <c r="C158" i="33"/>
  <c r="D158" i="33"/>
  <c r="B159" i="33"/>
  <c r="C159" i="33"/>
  <c r="D159" i="33"/>
  <c r="B160" i="33"/>
  <c r="C160" i="33"/>
  <c r="D160" i="33"/>
  <c r="B161" i="33"/>
  <c r="C161" i="33"/>
  <c r="D161" i="33"/>
  <c r="B162" i="33"/>
  <c r="C162" i="33"/>
  <c r="D162" i="33"/>
  <c r="B163" i="33"/>
  <c r="C163" i="33"/>
  <c r="D163" i="33"/>
  <c r="B164" i="33"/>
  <c r="C164" i="33"/>
  <c r="D164" i="33"/>
  <c r="B165" i="33"/>
  <c r="C165" i="33"/>
  <c r="D165" i="33"/>
  <c r="B166" i="33"/>
  <c r="C166" i="33"/>
  <c r="D166" i="33"/>
  <c r="B167" i="33"/>
  <c r="B168" i="33"/>
  <c r="C168" i="33"/>
  <c r="D168" i="33"/>
  <c r="B169" i="33"/>
  <c r="C169" i="33"/>
  <c r="D169" i="33"/>
  <c r="B170" i="33"/>
  <c r="C170" i="33"/>
  <c r="D170" i="33"/>
  <c r="B171" i="33"/>
  <c r="C171" i="33"/>
  <c r="D171" i="33"/>
  <c r="B172" i="33"/>
  <c r="C172" i="33"/>
  <c r="D172" i="33"/>
  <c r="B173" i="33"/>
  <c r="C173" i="33"/>
  <c r="D173" i="33"/>
  <c r="B174" i="33"/>
  <c r="C174" i="33"/>
  <c r="D174" i="33"/>
  <c r="B175" i="33"/>
  <c r="C175" i="33"/>
  <c r="D175" i="33"/>
  <c r="B176" i="33"/>
  <c r="C176" i="33"/>
  <c r="D176" i="33"/>
  <c r="B177" i="33"/>
  <c r="C177" i="33"/>
  <c r="D177" i="33"/>
  <c r="B178" i="33"/>
  <c r="C178" i="33"/>
  <c r="D178" i="33"/>
  <c r="B179" i="33"/>
  <c r="C179" i="33"/>
  <c r="D179" i="33"/>
  <c r="B180" i="33"/>
  <c r="C180" i="33"/>
  <c r="D180" i="33"/>
  <c r="B181" i="33"/>
  <c r="C181" i="33"/>
  <c r="D181" i="33"/>
  <c r="B182" i="33"/>
  <c r="B183" i="33"/>
  <c r="C183" i="33"/>
  <c r="D183" i="33"/>
  <c r="B184" i="33"/>
  <c r="C184" i="33"/>
  <c r="D184" i="33"/>
  <c r="B185" i="33"/>
  <c r="C185" i="33"/>
  <c r="D185" i="33"/>
  <c r="B186" i="33"/>
  <c r="C186" i="33"/>
  <c r="D186" i="33"/>
  <c r="B187" i="33"/>
  <c r="C187" i="33"/>
  <c r="D187" i="33"/>
  <c r="B188" i="33"/>
  <c r="C188" i="33"/>
  <c r="D188" i="33"/>
  <c r="B189" i="33"/>
  <c r="C189" i="33"/>
  <c r="D189" i="33"/>
  <c r="B190" i="33"/>
  <c r="C190" i="33"/>
  <c r="D190" i="33"/>
  <c r="B191" i="33"/>
  <c r="C191" i="33"/>
  <c r="D191" i="33"/>
  <c r="B192" i="33"/>
  <c r="C192" i="33"/>
  <c r="D192" i="33"/>
  <c r="B193" i="33"/>
  <c r="C193" i="33"/>
  <c r="D193" i="33"/>
  <c r="B194" i="33"/>
  <c r="C194" i="33"/>
  <c r="D194" i="33"/>
  <c r="B195" i="33"/>
  <c r="C195" i="33"/>
  <c r="D195" i="33"/>
  <c r="B196" i="33"/>
  <c r="C196" i="33"/>
  <c r="D196" i="33"/>
  <c r="B197" i="33"/>
  <c r="C197" i="33"/>
  <c r="D197" i="33"/>
  <c r="B198" i="33"/>
  <c r="C198" i="33"/>
  <c r="D198" i="33"/>
  <c r="B199" i="33"/>
  <c r="C199" i="33"/>
  <c r="D199" i="33"/>
  <c r="B200" i="33"/>
  <c r="B201" i="33"/>
  <c r="C201" i="33"/>
  <c r="D201" i="33"/>
  <c r="B202" i="33"/>
  <c r="C202" i="33"/>
  <c r="D202" i="33"/>
  <c r="B203" i="33"/>
  <c r="C203" i="33"/>
  <c r="D203" i="33"/>
  <c r="B204" i="33"/>
  <c r="C204" i="33"/>
  <c r="D204" i="33"/>
  <c r="B205" i="33"/>
  <c r="C205" i="33"/>
  <c r="D205" i="33"/>
  <c r="B206" i="33"/>
  <c r="C206" i="33"/>
  <c r="D206" i="33"/>
  <c r="B207" i="33"/>
  <c r="C207" i="33"/>
  <c r="D207" i="33"/>
  <c r="B208" i="33"/>
  <c r="C208" i="33"/>
  <c r="D208" i="33"/>
  <c r="B209" i="33"/>
  <c r="C209" i="33"/>
  <c r="D209" i="33"/>
  <c r="B210" i="33"/>
  <c r="C210" i="33"/>
  <c r="D210" i="33"/>
  <c r="B211" i="33"/>
  <c r="C211" i="33"/>
  <c r="D211" i="33"/>
  <c r="B212" i="33"/>
  <c r="B213" i="33"/>
  <c r="C213" i="33"/>
  <c r="D213" i="33"/>
  <c r="B214" i="33"/>
  <c r="C214" i="33"/>
  <c r="D214" i="33"/>
  <c r="B215" i="33"/>
  <c r="C215" i="33"/>
  <c r="D215" i="33"/>
  <c r="B216" i="33"/>
  <c r="C216" i="33"/>
  <c r="D216" i="33"/>
  <c r="B217" i="33"/>
  <c r="C217" i="33"/>
  <c r="D217" i="33"/>
  <c r="B218" i="33"/>
  <c r="C218" i="33"/>
  <c r="D218" i="33"/>
  <c r="B219" i="33"/>
  <c r="C219" i="33"/>
  <c r="D219" i="33"/>
  <c r="B220" i="33"/>
  <c r="C220" i="33"/>
  <c r="D220" i="33"/>
  <c r="B221" i="33"/>
  <c r="C221" i="33"/>
  <c r="D221" i="33"/>
  <c r="B222" i="33"/>
  <c r="C222" i="33"/>
  <c r="D222" i="33"/>
  <c r="B223" i="33"/>
  <c r="C223" i="33"/>
  <c r="D223" i="33"/>
  <c r="B224" i="33"/>
  <c r="C224" i="33"/>
  <c r="D224" i="33"/>
  <c r="B225" i="33"/>
  <c r="C225" i="33"/>
  <c r="D225" i="33"/>
  <c r="B226" i="33"/>
  <c r="C226" i="33"/>
  <c r="D226" i="33"/>
  <c r="B227" i="33"/>
  <c r="C227" i="33"/>
  <c r="D227" i="33"/>
  <c r="B228" i="33"/>
  <c r="C228" i="33"/>
  <c r="D228" i="33"/>
  <c r="B229" i="33"/>
  <c r="C229" i="33"/>
  <c r="D229" i="33"/>
  <c r="B230" i="33"/>
  <c r="C230" i="33"/>
  <c r="D230" i="33"/>
  <c r="B231" i="33"/>
  <c r="B232" i="33"/>
  <c r="C232" i="33"/>
  <c r="D232" i="33"/>
  <c r="B233" i="33"/>
  <c r="C233" i="33"/>
  <c r="D233" i="33"/>
  <c r="B234" i="33"/>
  <c r="C234" i="33"/>
  <c r="D234" i="33"/>
  <c r="B235" i="33"/>
  <c r="C235" i="33"/>
  <c r="D235" i="33"/>
  <c r="B236" i="33"/>
  <c r="B237" i="33"/>
  <c r="B238" i="33"/>
  <c r="B239" i="33"/>
  <c r="B240" i="33"/>
  <c r="C240" i="33"/>
  <c r="D240" i="33"/>
  <c r="B241" i="33"/>
  <c r="C241" i="33"/>
  <c r="D241" i="33"/>
  <c r="B242" i="33"/>
  <c r="C242" i="33"/>
  <c r="D242" i="33"/>
  <c r="B243" i="33"/>
  <c r="C243" i="33"/>
  <c r="D243" i="33"/>
  <c r="B244" i="33"/>
  <c r="C244" i="33"/>
  <c r="D244" i="33"/>
  <c r="B245" i="33"/>
  <c r="C245" i="33"/>
  <c r="D245" i="33"/>
  <c r="B246" i="33"/>
  <c r="C246" i="33"/>
  <c r="D246" i="33"/>
  <c r="B247" i="33"/>
  <c r="C247" i="33"/>
  <c r="D247" i="33"/>
  <c r="B248" i="33"/>
  <c r="B249" i="33"/>
  <c r="C249" i="33"/>
  <c r="D249" i="33"/>
  <c r="B250" i="33"/>
  <c r="C250" i="33"/>
  <c r="D250" i="33"/>
  <c r="B251" i="33"/>
  <c r="C251" i="33"/>
  <c r="D251" i="33"/>
  <c r="B252" i="33"/>
  <c r="C252" i="33"/>
  <c r="D252" i="33"/>
  <c r="B253" i="33"/>
  <c r="C253" i="33"/>
  <c r="D253" i="33"/>
  <c r="B254" i="33"/>
  <c r="C254" i="33"/>
  <c r="D254" i="33"/>
  <c r="B255" i="33"/>
  <c r="C255" i="33"/>
  <c r="D255" i="33"/>
  <c r="B256" i="33"/>
  <c r="C256" i="33"/>
  <c r="D256" i="33"/>
  <c r="B257" i="33"/>
  <c r="C257" i="33"/>
  <c r="D257" i="33"/>
  <c r="B258" i="33"/>
  <c r="C258" i="33"/>
  <c r="D258" i="33"/>
  <c r="B259" i="33"/>
  <c r="C259" i="33"/>
  <c r="D259" i="33"/>
  <c r="B260" i="33"/>
  <c r="C260" i="33"/>
  <c r="D260" i="33"/>
  <c r="B261" i="33"/>
  <c r="B262" i="33"/>
  <c r="C262" i="33"/>
  <c r="D262" i="33"/>
  <c r="B263" i="33"/>
  <c r="C263" i="33"/>
  <c r="D263" i="33"/>
  <c r="B264" i="33"/>
  <c r="C264" i="33"/>
  <c r="D264" i="33"/>
  <c r="B265" i="33"/>
  <c r="C265" i="33"/>
  <c r="D265" i="33"/>
  <c r="B266" i="33"/>
  <c r="C266" i="33"/>
  <c r="D266" i="33"/>
  <c r="B267" i="33"/>
  <c r="C267" i="33"/>
  <c r="D267" i="33"/>
  <c r="B268" i="33"/>
  <c r="C268" i="33"/>
  <c r="D268" i="33"/>
  <c r="B269" i="33"/>
  <c r="C269" i="33"/>
  <c r="D269" i="33"/>
  <c r="B270" i="33"/>
  <c r="C270" i="33"/>
  <c r="D270" i="33"/>
  <c r="B271" i="33"/>
  <c r="C271" i="33"/>
  <c r="D271" i="33"/>
  <c r="B272" i="33"/>
  <c r="B273" i="33"/>
  <c r="B274" i="33"/>
  <c r="C274" i="33"/>
  <c r="D274" i="33"/>
  <c r="B275" i="33"/>
  <c r="C275" i="33"/>
  <c r="D275" i="33"/>
  <c r="B276" i="33"/>
  <c r="C276" i="33"/>
  <c r="D276" i="33"/>
  <c r="B277" i="33"/>
  <c r="C277" i="33"/>
  <c r="D277" i="33"/>
  <c r="B278" i="33"/>
  <c r="C278" i="33"/>
  <c r="D278" i="33"/>
  <c r="B279" i="33"/>
  <c r="C279" i="33"/>
  <c r="D279" i="33"/>
  <c r="B280" i="33"/>
  <c r="C280" i="33"/>
  <c r="D280" i="33"/>
  <c r="B281" i="33"/>
  <c r="C281" i="33"/>
  <c r="D281" i="33"/>
  <c r="B282" i="33"/>
  <c r="C282" i="33"/>
  <c r="D282" i="33"/>
  <c r="B283" i="33"/>
  <c r="C283" i="33"/>
  <c r="D283" i="33"/>
  <c r="B284" i="33"/>
  <c r="C284" i="33"/>
  <c r="D284" i="33"/>
  <c r="B285" i="33"/>
  <c r="C285" i="33"/>
  <c r="D285" i="33"/>
  <c r="B286" i="33"/>
  <c r="C286" i="33"/>
  <c r="D286" i="33"/>
  <c r="B287" i="33"/>
  <c r="C287" i="33"/>
  <c r="D287" i="33"/>
  <c r="B288" i="33"/>
  <c r="C288" i="33"/>
  <c r="D288" i="33"/>
  <c r="B289" i="33"/>
  <c r="C289" i="33"/>
  <c r="D289" i="33"/>
  <c r="B290" i="33"/>
  <c r="C290" i="33"/>
  <c r="D290" i="33"/>
  <c r="B291" i="33"/>
  <c r="C291" i="33"/>
  <c r="D291" i="33"/>
  <c r="B292" i="33"/>
  <c r="C292" i="33"/>
  <c r="D292" i="33"/>
  <c r="B293" i="33"/>
  <c r="C293" i="33"/>
  <c r="D293" i="33"/>
  <c r="B294" i="33"/>
  <c r="B295" i="33"/>
  <c r="C295" i="33"/>
  <c r="D295" i="33"/>
  <c r="B296" i="33"/>
  <c r="C296" i="33"/>
  <c r="D296" i="33"/>
  <c r="B297" i="33"/>
  <c r="C297" i="33"/>
  <c r="D297" i="33"/>
  <c r="B298" i="33"/>
  <c r="C298" i="33"/>
  <c r="D298" i="33"/>
  <c r="B299" i="33"/>
  <c r="C299" i="33"/>
  <c r="D299" i="33"/>
  <c r="B300" i="33"/>
  <c r="C300" i="33"/>
  <c r="D300" i="33"/>
  <c r="B301" i="33"/>
  <c r="C301" i="33"/>
  <c r="D301" i="33"/>
  <c r="B302" i="33"/>
  <c r="C302" i="33"/>
  <c r="D302" i="33"/>
  <c r="B303" i="33"/>
  <c r="C303" i="33"/>
  <c r="D303" i="33"/>
  <c r="B304" i="33"/>
  <c r="D304" i="33"/>
  <c r="B305" i="33"/>
  <c r="C305" i="33"/>
  <c r="D305" i="33"/>
  <c r="B306" i="33"/>
  <c r="C306" i="33"/>
  <c r="D306" i="33"/>
  <c r="B307" i="33"/>
  <c r="C307" i="33"/>
  <c r="D307" i="33"/>
  <c r="B308" i="33"/>
  <c r="C308" i="33"/>
  <c r="D308" i="33"/>
  <c r="B309" i="33"/>
  <c r="C309" i="33"/>
  <c r="D309" i="33"/>
  <c r="B310" i="33"/>
  <c r="C310" i="33"/>
  <c r="D310" i="33"/>
  <c r="B311" i="33"/>
  <c r="C311" i="33"/>
  <c r="D311" i="33"/>
  <c r="B312" i="33"/>
  <c r="C312" i="33"/>
  <c r="D312" i="33"/>
  <c r="B313" i="33"/>
  <c r="C313" i="33"/>
  <c r="D313" i="33"/>
  <c r="B314" i="33"/>
  <c r="C314" i="33"/>
  <c r="D314" i="33"/>
  <c r="B315" i="33"/>
  <c r="B316" i="33"/>
  <c r="C316" i="33"/>
  <c r="D316" i="33"/>
  <c r="B317" i="33"/>
  <c r="C317" i="33"/>
  <c r="D317" i="33"/>
  <c r="B318" i="33"/>
  <c r="C318" i="33"/>
  <c r="D318" i="33"/>
  <c r="B319" i="33"/>
  <c r="C319" i="33"/>
  <c r="D319" i="33"/>
  <c r="B320" i="33"/>
  <c r="C320" i="33"/>
  <c r="D320" i="33"/>
  <c r="B321" i="33"/>
  <c r="C321" i="33"/>
  <c r="D321" i="33"/>
  <c r="B322" i="33"/>
  <c r="B323" i="33"/>
  <c r="C323" i="33"/>
  <c r="D323" i="33"/>
  <c r="B324" i="33"/>
  <c r="C324" i="33"/>
  <c r="D324" i="33"/>
  <c r="B325" i="33"/>
  <c r="C325" i="33"/>
  <c r="D325" i="33"/>
  <c r="B326" i="33"/>
  <c r="C326" i="33"/>
  <c r="D326" i="33"/>
  <c r="B327" i="33"/>
  <c r="C327" i="33"/>
  <c r="D327" i="33"/>
  <c r="B328" i="33"/>
  <c r="C328" i="33"/>
  <c r="D328" i="33"/>
  <c r="B329" i="33"/>
  <c r="C329" i="33"/>
  <c r="D329" i="33"/>
  <c r="B330" i="33"/>
  <c r="B331" i="33"/>
  <c r="B332" i="33"/>
  <c r="B333" i="33"/>
  <c r="B334" i="33"/>
  <c r="B335" i="33"/>
  <c r="B336" i="33"/>
  <c r="O337" i="33"/>
  <c r="P338" i="46" l="1"/>
  <c r="P336" i="46" s="1"/>
  <c r="J362" i="47"/>
  <c r="C361" i="40"/>
  <c r="D361" i="40" s="1"/>
  <c r="J335" i="43"/>
  <c r="O336" i="43"/>
  <c r="D335" i="40"/>
  <c r="J344" i="46"/>
  <c r="J344" i="43"/>
  <c r="J345" i="46"/>
  <c r="J345" i="43"/>
  <c r="C2" i="36"/>
  <c r="G36" i="47"/>
  <c r="G36" i="42"/>
  <c r="G36" i="35"/>
  <c r="O240" i="33"/>
  <c r="O324" i="33"/>
  <c r="D214" i="36"/>
  <c r="D143" i="36"/>
  <c r="D141" i="36"/>
  <c r="D124" i="36"/>
  <c r="D98" i="36"/>
  <c r="D71" i="36"/>
  <c r="D195" i="36"/>
  <c r="D88" i="36"/>
  <c r="D83" i="36"/>
  <c r="D56" i="36"/>
  <c r="D226" i="36"/>
  <c r="D216" i="36"/>
  <c r="D174" i="36"/>
  <c r="D168" i="36"/>
  <c r="D158" i="36"/>
  <c r="D150" i="36"/>
  <c r="D96" i="36"/>
  <c r="D79" i="36"/>
  <c r="D235" i="36"/>
  <c r="D229" i="36"/>
  <c r="D129" i="36"/>
  <c r="D126" i="36"/>
  <c r="C86" i="36"/>
  <c r="D58" i="36"/>
  <c r="D54" i="36"/>
  <c r="D178" i="36"/>
  <c r="D162" i="36"/>
  <c r="D148" i="36"/>
  <c r="D92" i="36"/>
  <c r="D225" i="36"/>
  <c r="D223" i="36"/>
  <c r="D221" i="36"/>
  <c r="D219" i="36"/>
  <c r="D217" i="36"/>
  <c r="D215" i="36"/>
  <c r="D213" i="36"/>
  <c r="D211" i="36"/>
  <c r="D192" i="36"/>
  <c r="D189" i="36"/>
  <c r="D186" i="36"/>
  <c r="D181" i="36"/>
  <c r="D179" i="36"/>
  <c r="D177" i="36"/>
  <c r="D175" i="36"/>
  <c r="D173" i="36"/>
  <c r="D171" i="36"/>
  <c r="D169" i="36"/>
  <c r="D163" i="36"/>
  <c r="D161" i="36"/>
  <c r="D159" i="36"/>
  <c r="D157" i="36"/>
  <c r="D155" i="36"/>
  <c r="D153" i="36"/>
  <c r="D151" i="36"/>
  <c r="D149" i="36"/>
  <c r="D147" i="36"/>
  <c r="D140" i="36"/>
  <c r="D117" i="36"/>
  <c r="D114" i="36"/>
  <c r="D111" i="36"/>
  <c r="D97" i="36"/>
  <c r="D95" i="36"/>
  <c r="D93" i="36"/>
  <c r="D91" i="36"/>
  <c r="D89" i="36"/>
  <c r="D222" i="36"/>
  <c r="D218" i="36"/>
  <c r="D180" i="36"/>
  <c r="D172" i="36"/>
  <c r="D160" i="36"/>
  <c r="D154" i="36"/>
  <c r="D130" i="36"/>
  <c r="D82" i="36"/>
  <c r="D166" i="36"/>
  <c r="D144" i="36"/>
  <c r="D142" i="36"/>
  <c r="D128" i="36"/>
  <c r="D125" i="36"/>
  <c r="D99" i="36"/>
  <c r="D232" i="36"/>
  <c r="D220" i="36"/>
  <c r="D176" i="36"/>
  <c r="D170" i="36"/>
  <c r="D156" i="36"/>
  <c r="D146" i="36"/>
  <c r="D90" i="36"/>
  <c r="D84" i="36"/>
  <c r="D234" i="36"/>
  <c r="D230" i="36"/>
  <c r="D210" i="36"/>
  <c r="D59" i="36"/>
  <c r="D224" i="36"/>
  <c r="D152" i="36"/>
  <c r="D127" i="36"/>
  <c r="D94" i="36"/>
  <c r="D53" i="36"/>
  <c r="D67" i="36"/>
  <c r="D55" i="36"/>
  <c r="D70" i="36"/>
  <c r="D63" i="36"/>
  <c r="D200" i="36"/>
  <c r="D78" i="36"/>
  <c r="D137" i="36"/>
  <c r="D108" i="36"/>
  <c r="D198" i="36"/>
  <c r="D76" i="36"/>
  <c r="D184" i="36"/>
  <c r="D60" i="36"/>
  <c r="D109" i="36"/>
  <c r="D204" i="36"/>
  <c r="D123" i="36"/>
  <c r="D191" i="36"/>
  <c r="D66" i="36"/>
  <c r="D205" i="36"/>
  <c r="D80" i="36"/>
  <c r="D183" i="36"/>
  <c r="D61" i="36"/>
  <c r="D113" i="36"/>
  <c r="D203" i="36"/>
  <c r="D122" i="36"/>
  <c r="D65" i="36"/>
  <c r="D115" i="36"/>
  <c r="D207" i="36"/>
  <c r="D74" i="36"/>
  <c r="D133" i="36"/>
  <c r="D212" i="36"/>
  <c r="D101" i="36"/>
  <c r="D112" i="36"/>
  <c r="D187" i="36"/>
  <c r="D64" i="36"/>
  <c r="D119" i="36"/>
  <c r="D132" i="36"/>
  <c r="D62" i="36"/>
  <c r="D104" i="36"/>
  <c r="D118" i="36"/>
  <c r="D193" i="36"/>
  <c r="D100" i="36"/>
  <c r="D182" i="36"/>
  <c r="D209" i="36"/>
  <c r="D131" i="36"/>
  <c r="D81" i="36"/>
  <c r="D196" i="36"/>
  <c r="D110" i="36"/>
  <c r="D139" i="36"/>
  <c r="D227" i="36"/>
  <c r="D206" i="36"/>
  <c r="D69" i="36"/>
  <c r="D190" i="36"/>
  <c r="D77" i="36"/>
  <c r="D136" i="36"/>
  <c r="D233" i="36"/>
  <c r="D135" i="36"/>
  <c r="D164" i="36"/>
  <c r="D72" i="36"/>
  <c r="D107" i="36"/>
  <c r="D68" i="36"/>
  <c r="D121" i="36"/>
  <c r="D188" i="36"/>
  <c r="D228" i="36"/>
  <c r="D57" i="36"/>
  <c r="D138" i="36"/>
  <c r="D197" i="36"/>
  <c r="D103" i="36"/>
  <c r="D199" i="36"/>
  <c r="D116" i="36"/>
  <c r="D167" i="36"/>
  <c r="D102" i="36"/>
  <c r="D165" i="36"/>
  <c r="D75" i="36"/>
  <c r="D134" i="36"/>
  <c r="D208" i="36"/>
  <c r="D105" i="36"/>
  <c r="D194" i="36"/>
  <c r="D73" i="36"/>
  <c r="D145" i="36"/>
  <c r="D106" i="36"/>
  <c r="D201" i="36"/>
  <c r="D120" i="36"/>
  <c r="D185" i="36"/>
  <c r="D202" i="36"/>
  <c r="D231" i="36"/>
  <c r="C332" i="36"/>
  <c r="D52" i="36"/>
  <c r="D85" i="36"/>
  <c r="D236" i="36"/>
  <c r="D330" i="36"/>
  <c r="O321" i="33"/>
  <c r="O213" i="33"/>
  <c r="O62" i="33"/>
  <c r="O142" i="33"/>
  <c r="O245" i="35"/>
  <c r="O329" i="33"/>
  <c r="O271" i="33"/>
  <c r="P271" i="33" s="1"/>
  <c r="R271" i="33" s="1"/>
  <c r="G27" i="47"/>
  <c r="O66" i="33"/>
  <c r="O320" i="33"/>
  <c r="O317" i="33"/>
  <c r="O210" i="33"/>
  <c r="O67" i="33"/>
  <c r="O129" i="35"/>
  <c r="O183" i="35"/>
  <c r="O186" i="35"/>
  <c r="O58" i="33"/>
  <c r="O61" i="35"/>
  <c r="O166" i="33"/>
  <c r="O130" i="33"/>
  <c r="O144" i="33"/>
  <c r="O102" i="33"/>
  <c r="O39" i="33"/>
  <c r="O319" i="33"/>
  <c r="O219" i="33"/>
  <c r="H231" i="47"/>
  <c r="H231" i="42"/>
  <c r="H231" i="35"/>
  <c r="P2" i="46"/>
  <c r="H60" i="47"/>
  <c r="H60" i="42"/>
  <c r="O60" i="42" s="1"/>
  <c r="H60" i="35"/>
  <c r="O64" i="35"/>
  <c r="O174" i="33"/>
  <c r="O50" i="33"/>
  <c r="P50" i="33" s="1"/>
  <c r="R50" i="33" s="1"/>
  <c r="O180" i="33"/>
  <c r="O74" i="33"/>
  <c r="O251" i="33"/>
  <c r="O263" i="33"/>
  <c r="P263" i="33" s="1"/>
  <c r="R263" i="33" s="1"/>
  <c r="O243" i="33"/>
  <c r="O185" i="33"/>
  <c r="L237" i="46"/>
  <c r="P98" i="46"/>
  <c r="R98" i="46" s="1"/>
  <c r="P111" i="46"/>
  <c r="R111" i="46" s="1"/>
  <c r="P69" i="46"/>
  <c r="R69" i="46" s="1"/>
  <c r="P204" i="46"/>
  <c r="P150" i="46"/>
  <c r="R150" i="46" s="1"/>
  <c r="P102" i="46"/>
  <c r="R102" i="46" s="1"/>
  <c r="P82" i="46"/>
  <c r="R82" i="46" s="1"/>
  <c r="P194" i="46"/>
  <c r="R194" i="46" s="1"/>
  <c r="P85" i="46"/>
  <c r="R85" i="46" s="1"/>
  <c r="P162" i="46"/>
  <c r="R162" i="46" s="1"/>
  <c r="P133" i="46"/>
  <c r="R133" i="46" s="1"/>
  <c r="P132" i="46"/>
  <c r="R132" i="46" s="1"/>
  <c r="P211" i="46"/>
  <c r="P171" i="46"/>
  <c r="R171" i="46" s="1"/>
  <c r="P112" i="46"/>
  <c r="R112" i="46" s="1"/>
  <c r="P169" i="46"/>
  <c r="R169" i="46" s="1"/>
  <c r="P158" i="46"/>
  <c r="R158" i="46" s="1"/>
  <c r="P128" i="46"/>
  <c r="R128" i="46" s="1"/>
  <c r="P121" i="46"/>
  <c r="R121" i="46" s="1"/>
  <c r="P179" i="46"/>
  <c r="R179" i="46" s="1"/>
  <c r="P165" i="46"/>
  <c r="R165" i="46" s="1"/>
  <c r="P117" i="46"/>
  <c r="R117" i="46" s="1"/>
  <c r="P124" i="46"/>
  <c r="P91" i="46"/>
  <c r="R91" i="46" s="1"/>
  <c r="P107" i="46"/>
  <c r="R107" i="46" s="1"/>
  <c r="P118" i="46"/>
  <c r="R118" i="46" s="1"/>
  <c r="P137" i="46"/>
  <c r="R137" i="46" s="1"/>
  <c r="P131" i="46"/>
  <c r="R131" i="46" s="1"/>
  <c r="P94" i="46"/>
  <c r="R94" i="46" s="1"/>
  <c r="P54" i="46"/>
  <c r="R54" i="46" s="1"/>
  <c r="P115" i="46"/>
  <c r="R115" i="46" s="1"/>
  <c r="P78" i="46"/>
  <c r="R78" i="46" s="1"/>
  <c r="P172" i="46"/>
  <c r="R172" i="46" s="1"/>
  <c r="P81" i="46"/>
  <c r="R81" i="46" s="1"/>
  <c r="P174" i="46"/>
  <c r="R174" i="46" s="1"/>
  <c r="P74" i="46"/>
  <c r="R74" i="46" s="1"/>
  <c r="P77" i="46"/>
  <c r="R77" i="46" s="1"/>
  <c r="P75" i="46"/>
  <c r="R75" i="46" s="1"/>
  <c r="P62" i="46"/>
  <c r="R62" i="46" s="1"/>
  <c r="P176" i="46"/>
  <c r="R176" i="46" s="1"/>
  <c r="P203" i="46"/>
  <c r="P196" i="46"/>
  <c r="R196" i="46" s="1"/>
  <c r="P116" i="46"/>
  <c r="R116" i="46" s="1"/>
  <c r="P93" i="46"/>
  <c r="R93" i="46" s="1"/>
  <c r="P139" i="46"/>
  <c r="R139" i="46" s="1"/>
  <c r="P129" i="46"/>
  <c r="R129" i="46" s="1"/>
  <c r="P209" i="46"/>
  <c r="P65" i="46"/>
  <c r="R65" i="46" s="1"/>
  <c r="P188" i="46"/>
  <c r="P135" i="46"/>
  <c r="R135" i="46" s="1"/>
  <c r="P142" i="46"/>
  <c r="R142" i="46" s="1"/>
  <c r="P99" i="46"/>
  <c r="R99" i="46" s="1"/>
  <c r="P55" i="46"/>
  <c r="R55" i="46" s="1"/>
  <c r="P68" i="46"/>
  <c r="R68" i="46" s="1"/>
  <c r="P95" i="46"/>
  <c r="R95" i="46" s="1"/>
  <c r="P66" i="46"/>
  <c r="R66" i="46" s="1"/>
  <c r="P208" i="46"/>
  <c r="P178" i="46"/>
  <c r="R178" i="46" s="1"/>
  <c r="P153" i="46"/>
  <c r="R153" i="46" s="1"/>
  <c r="P236" i="46"/>
  <c r="R236" i="46" s="1"/>
  <c r="P235" i="46"/>
  <c r="R235" i="46" s="1"/>
  <c r="P184" i="46"/>
  <c r="O86" i="46"/>
  <c r="P86" i="46" s="1"/>
  <c r="R86" i="46" s="1"/>
  <c r="P110" i="46"/>
  <c r="R110" i="46" s="1"/>
  <c r="P76" i="46"/>
  <c r="R76" i="46" s="1"/>
  <c r="P161" i="46"/>
  <c r="R161" i="46" s="1"/>
  <c r="P84" i="46"/>
  <c r="R84" i="46" s="1"/>
  <c r="P92" i="46"/>
  <c r="R92" i="46" s="1"/>
  <c r="P61" i="46"/>
  <c r="R61" i="46" s="1"/>
  <c r="P180" i="46"/>
  <c r="R180" i="46" s="1"/>
  <c r="P67" i="46"/>
  <c r="R67" i="46" s="1"/>
  <c r="P83" i="46"/>
  <c r="R83" i="46" s="1"/>
  <c r="P182" i="46"/>
  <c r="R182" i="46" s="1"/>
  <c r="P175" i="46"/>
  <c r="R175" i="46" s="1"/>
  <c r="P59" i="46"/>
  <c r="R59" i="46" s="1"/>
  <c r="P146" i="46"/>
  <c r="R146" i="46" s="1"/>
  <c r="P233" i="46"/>
  <c r="R233" i="46" s="1"/>
  <c r="P144" i="46"/>
  <c r="R144" i="46" s="1"/>
  <c r="P80" i="46"/>
  <c r="R80" i="46" s="1"/>
  <c r="P163" i="46"/>
  <c r="R163" i="46" s="1"/>
  <c r="P206" i="46"/>
  <c r="P159" i="46"/>
  <c r="R159" i="46" s="1"/>
  <c r="P57" i="46"/>
  <c r="R57" i="46" s="1"/>
  <c r="P97" i="46"/>
  <c r="R97" i="46" s="1"/>
  <c r="P160" i="46"/>
  <c r="R160" i="46" s="1"/>
  <c r="P183" i="46"/>
  <c r="R183" i="46" s="1"/>
  <c r="P90" i="46"/>
  <c r="R90" i="46" s="1"/>
  <c r="P73" i="46"/>
  <c r="R73" i="46" s="1"/>
  <c r="P187" i="46"/>
  <c r="P155" i="46"/>
  <c r="R155" i="46" s="1"/>
  <c r="P126" i="46"/>
  <c r="P186" i="46"/>
  <c r="P199" i="46"/>
  <c r="R199" i="46" s="1"/>
  <c r="P141" i="46"/>
  <c r="R141" i="46" s="1"/>
  <c r="P64" i="46"/>
  <c r="R64" i="46" s="1"/>
  <c r="P106" i="46"/>
  <c r="R106" i="46" s="1"/>
  <c r="P104" i="46"/>
  <c r="R104" i="46" s="1"/>
  <c r="P173" i="46"/>
  <c r="R173" i="46" s="1"/>
  <c r="P71" i="46"/>
  <c r="R71" i="46" s="1"/>
  <c r="P232" i="46"/>
  <c r="P88" i="46"/>
  <c r="R88" i="46" s="1"/>
  <c r="P177" i="46"/>
  <c r="R177" i="46" s="1"/>
  <c r="P201" i="46"/>
  <c r="R201" i="46" s="1"/>
  <c r="P96" i="46"/>
  <c r="R96" i="46" s="1"/>
  <c r="P210" i="46"/>
  <c r="P125" i="46"/>
  <c r="P79" i="46"/>
  <c r="R79" i="46" s="1"/>
  <c r="P127" i="46"/>
  <c r="P56" i="46"/>
  <c r="R56" i="46" s="1"/>
  <c r="P105" i="46"/>
  <c r="R105" i="46" s="1"/>
  <c r="P147" i="46"/>
  <c r="R147" i="46" s="1"/>
  <c r="P119" i="46"/>
  <c r="R119" i="46" s="1"/>
  <c r="P145" i="46"/>
  <c r="R145" i="46" s="1"/>
  <c r="P205" i="46"/>
  <c r="P193" i="46"/>
  <c r="P138" i="46"/>
  <c r="R138" i="46" s="1"/>
  <c r="P143" i="46"/>
  <c r="R143" i="46" s="1"/>
  <c r="P197" i="46"/>
  <c r="R197" i="46" s="1"/>
  <c r="P123" i="46"/>
  <c r="R123" i="46" s="1"/>
  <c r="P140" i="46"/>
  <c r="R140" i="46" s="1"/>
  <c r="P134" i="46"/>
  <c r="R134" i="46" s="1"/>
  <c r="P109" i="46"/>
  <c r="R109" i="46" s="1"/>
  <c r="P152" i="46"/>
  <c r="R152" i="46" s="1"/>
  <c r="P101" i="46"/>
  <c r="R101" i="46" s="1"/>
  <c r="P136" i="46"/>
  <c r="R136" i="46" s="1"/>
  <c r="P189" i="46"/>
  <c r="P108" i="46"/>
  <c r="R108" i="46" s="1"/>
  <c r="P168" i="46"/>
  <c r="R168" i="46" s="1"/>
  <c r="P181" i="46"/>
  <c r="R181" i="46" s="1"/>
  <c r="P190" i="46"/>
  <c r="P103" i="46"/>
  <c r="R103" i="46" s="1"/>
  <c r="P170" i="46"/>
  <c r="R170" i="46" s="1"/>
  <c r="P52" i="46"/>
  <c r="R52" i="46" s="1"/>
  <c r="P157" i="46"/>
  <c r="R157" i="46" s="1"/>
  <c r="O86" i="43"/>
  <c r="P86" i="43" s="1"/>
  <c r="R86" i="43" s="1"/>
  <c r="P198" i="46"/>
  <c r="R198" i="46" s="1"/>
  <c r="P164" i="46"/>
  <c r="R164" i="46" s="1"/>
  <c r="P191" i="46"/>
  <c r="P114" i="46"/>
  <c r="R114" i="46" s="1"/>
  <c r="P154" i="46"/>
  <c r="R154" i="46" s="1"/>
  <c r="P53" i="46"/>
  <c r="R53" i="46" s="1"/>
  <c r="P130" i="46"/>
  <c r="R130" i="46" s="1"/>
  <c r="P234" i="46"/>
  <c r="R234" i="46" s="1"/>
  <c r="P122" i="46"/>
  <c r="R122" i="46" s="1"/>
  <c r="P192" i="46"/>
  <c r="P149" i="46"/>
  <c r="R149" i="46" s="1"/>
  <c r="P120" i="46"/>
  <c r="R120" i="46" s="1"/>
  <c r="P166" i="46"/>
  <c r="R166" i="46" s="1"/>
  <c r="P207" i="46"/>
  <c r="P100" i="46"/>
  <c r="R100" i="46" s="1"/>
  <c r="P63" i="46"/>
  <c r="R63" i="46" s="1"/>
  <c r="P148" i="46"/>
  <c r="R148" i="46" s="1"/>
  <c r="P156" i="46"/>
  <c r="R156" i="46" s="1"/>
  <c r="P185" i="46"/>
  <c r="P58" i="46"/>
  <c r="R58" i="46" s="1"/>
  <c r="P167" i="46"/>
  <c r="R167" i="46" s="1"/>
  <c r="P113" i="46"/>
  <c r="R113" i="46" s="1"/>
  <c r="P151" i="46"/>
  <c r="R151" i="46" s="1"/>
  <c r="P202" i="46"/>
  <c r="P89" i="46"/>
  <c r="R89" i="46" s="1"/>
  <c r="P72" i="46"/>
  <c r="R72" i="46" s="1"/>
  <c r="P2" i="43"/>
  <c r="G231" i="47"/>
  <c r="G231" i="35"/>
  <c r="G231" i="42"/>
  <c r="G48" i="47"/>
  <c r="G48" i="42"/>
  <c r="G48" i="35"/>
  <c r="O233" i="33"/>
  <c r="O235" i="33"/>
  <c r="O154" i="33"/>
  <c r="O295" i="33"/>
  <c r="O298" i="33"/>
  <c r="O172" i="33"/>
  <c r="O171" i="33"/>
  <c r="O120" i="35"/>
  <c r="O118" i="33"/>
  <c r="O42" i="33"/>
  <c r="O125" i="33"/>
  <c r="O65" i="33"/>
  <c r="O220" i="35"/>
  <c r="G11" i="47"/>
  <c r="G11" i="42"/>
  <c r="G11" i="35"/>
  <c r="G14" i="47"/>
  <c r="G14" i="42"/>
  <c r="G14" i="35"/>
  <c r="H11" i="47"/>
  <c r="H11" i="42"/>
  <c r="H11" i="35"/>
  <c r="O280" i="33"/>
  <c r="O162" i="33"/>
  <c r="O98" i="33"/>
  <c r="O92" i="33"/>
  <c r="H14" i="47"/>
  <c r="H14" i="42"/>
  <c r="H14" i="35"/>
  <c r="O230" i="33"/>
  <c r="O220" i="33"/>
  <c r="O217" i="33"/>
  <c r="O107" i="33"/>
  <c r="O68" i="33"/>
  <c r="O282" i="35"/>
  <c r="O291" i="35"/>
  <c r="G12" i="47"/>
  <c r="G12" i="42"/>
  <c r="G12" i="35"/>
  <c r="G15" i="47"/>
  <c r="G15" i="42"/>
  <c r="G15" i="35"/>
  <c r="H12" i="47"/>
  <c r="H12" i="42"/>
  <c r="H12" i="35"/>
  <c r="O291" i="33"/>
  <c r="O208" i="33"/>
  <c r="O158" i="33"/>
  <c r="O152" i="33"/>
  <c r="O97" i="33"/>
  <c r="O77" i="33"/>
  <c r="H15" i="47"/>
  <c r="H15" i="42"/>
  <c r="H15" i="35"/>
  <c r="O247" i="33"/>
  <c r="O244" i="33"/>
  <c r="P244" i="33" s="1"/>
  <c r="R244" i="33" s="1"/>
  <c r="O124" i="33"/>
  <c r="O121" i="33"/>
  <c r="G13" i="47"/>
  <c r="G13" i="42"/>
  <c r="G13" i="35"/>
  <c r="G16" i="47"/>
  <c r="G16" i="42"/>
  <c r="G16" i="35"/>
  <c r="H13" i="47"/>
  <c r="H13" i="42"/>
  <c r="H13" i="35"/>
  <c r="O328" i="33"/>
  <c r="O323" i="33"/>
  <c r="O178" i="33"/>
  <c r="O51" i="33"/>
  <c r="O316" i="35"/>
  <c r="H16" i="47"/>
  <c r="H16" i="42"/>
  <c r="H16" i="35"/>
  <c r="O232" i="33"/>
  <c r="O44" i="33"/>
  <c r="P44" i="33" s="1"/>
  <c r="R44" i="33" s="1"/>
  <c r="O314" i="35"/>
  <c r="O286" i="35"/>
  <c r="O289" i="35"/>
  <c r="O256" i="33"/>
  <c r="O211" i="33"/>
  <c r="O69" i="33"/>
  <c r="O59" i="33"/>
  <c r="O229" i="33"/>
  <c r="O234" i="33"/>
  <c r="O170" i="33"/>
  <c r="O132" i="33"/>
  <c r="O122" i="33"/>
  <c r="O120" i="33"/>
  <c r="O95" i="33"/>
  <c r="I237" i="43"/>
  <c r="I237" i="47"/>
  <c r="I237" i="46"/>
  <c r="H322" i="47"/>
  <c r="H322" i="42"/>
  <c r="H322" i="35"/>
  <c r="H261" i="47"/>
  <c r="H261" i="42"/>
  <c r="H261" i="35"/>
  <c r="H248" i="47"/>
  <c r="H248" i="35"/>
  <c r="H248" i="42"/>
  <c r="H212" i="47"/>
  <c r="H212" i="35"/>
  <c r="H212" i="42"/>
  <c r="H200" i="47"/>
  <c r="H200" i="35"/>
  <c r="H200" i="42"/>
  <c r="H167" i="47"/>
  <c r="H167" i="35"/>
  <c r="H167" i="42"/>
  <c r="H145" i="47"/>
  <c r="H145" i="42"/>
  <c r="H145" i="35"/>
  <c r="H131" i="47"/>
  <c r="H131" i="35"/>
  <c r="H131" i="42"/>
  <c r="H100" i="47"/>
  <c r="H100" i="35"/>
  <c r="H100" i="42"/>
  <c r="H88" i="47"/>
  <c r="H88" i="42"/>
  <c r="H88" i="35"/>
  <c r="H70" i="35"/>
  <c r="H70" i="47"/>
  <c r="H70" i="42"/>
  <c r="H52" i="35"/>
  <c r="H52" i="47"/>
  <c r="H52" i="42"/>
  <c r="C27" i="38"/>
  <c r="H48" i="47"/>
  <c r="H48" i="42"/>
  <c r="H48" i="35"/>
  <c r="H3" i="47"/>
  <c r="H3" i="35"/>
  <c r="H3" i="42"/>
  <c r="H5" i="47"/>
  <c r="H5" i="42"/>
  <c r="H5" i="35"/>
  <c r="H4" i="47"/>
  <c r="H4" i="42"/>
  <c r="H4" i="35"/>
  <c r="H9" i="47"/>
  <c r="H9" i="35"/>
  <c r="H9" i="42"/>
  <c r="H8" i="47"/>
  <c r="H8" i="35"/>
  <c r="H8" i="42"/>
  <c r="G336" i="42"/>
  <c r="G336" i="47"/>
  <c r="H7" i="47"/>
  <c r="H7" i="42"/>
  <c r="H7" i="35"/>
  <c r="H6" i="47"/>
  <c r="H6" i="42"/>
  <c r="H6" i="35"/>
  <c r="G315" i="47"/>
  <c r="G315" i="35"/>
  <c r="G315" i="42"/>
  <c r="G294" i="47"/>
  <c r="G294" i="35"/>
  <c r="G294" i="42"/>
  <c r="G261" i="47"/>
  <c r="G261" i="42"/>
  <c r="G261" i="35"/>
  <c r="G248" i="47"/>
  <c r="G248" i="42"/>
  <c r="G248" i="35"/>
  <c r="G239" i="47"/>
  <c r="G239" i="42"/>
  <c r="G239" i="35"/>
  <c r="G212" i="47"/>
  <c r="G212" i="35"/>
  <c r="G212" i="42"/>
  <c r="G200" i="47"/>
  <c r="G200" i="42"/>
  <c r="G200" i="35"/>
  <c r="G167" i="47"/>
  <c r="G167" i="42"/>
  <c r="G167" i="35"/>
  <c r="G145" i="47"/>
  <c r="G145" i="35"/>
  <c r="G145" i="42"/>
  <c r="G131" i="47"/>
  <c r="G131" i="35"/>
  <c r="G131" i="42"/>
  <c r="G88" i="47"/>
  <c r="G88" i="42"/>
  <c r="G88" i="35"/>
  <c r="G70" i="35"/>
  <c r="G70" i="47"/>
  <c r="G70" i="42"/>
  <c r="G52" i="47"/>
  <c r="G52" i="35"/>
  <c r="G52" i="42"/>
  <c r="G9" i="47"/>
  <c r="G9" i="42"/>
  <c r="G9" i="35"/>
  <c r="G6" i="47"/>
  <c r="G6" i="35"/>
  <c r="G6" i="42"/>
  <c r="G5" i="47"/>
  <c r="G5" i="35"/>
  <c r="G5" i="42"/>
  <c r="G3" i="47"/>
  <c r="G3" i="35"/>
  <c r="G3" i="42"/>
  <c r="G4" i="47"/>
  <c r="G4" i="35"/>
  <c r="G4" i="42"/>
  <c r="O326" i="33"/>
  <c r="O327" i="33"/>
  <c r="O297" i="35"/>
  <c r="O281" i="33"/>
  <c r="O275" i="33"/>
  <c r="O264" i="33"/>
  <c r="O221" i="33"/>
  <c r="O163" i="33"/>
  <c r="O117" i="33"/>
  <c r="O90" i="33"/>
  <c r="O78" i="35"/>
  <c r="O80" i="33"/>
  <c r="O78" i="33"/>
  <c r="O284" i="33"/>
  <c r="O267" i="33"/>
  <c r="O225" i="33"/>
  <c r="O224" i="33"/>
  <c r="O205" i="33"/>
  <c r="O209" i="33"/>
  <c r="O195" i="33"/>
  <c r="O175" i="33"/>
  <c r="O177" i="33"/>
  <c r="O173" i="33"/>
  <c r="O161" i="33"/>
  <c r="O149" i="33"/>
  <c r="O156" i="33"/>
  <c r="O147" i="33"/>
  <c r="O136" i="35"/>
  <c r="O138" i="33"/>
  <c r="O104" i="33"/>
  <c r="O116" i="33"/>
  <c r="O105" i="33"/>
  <c r="O96" i="33"/>
  <c r="O277" i="35"/>
  <c r="O222" i="33"/>
  <c r="O214" i="35"/>
  <c r="O217" i="35"/>
  <c r="O191" i="33"/>
  <c r="O183" i="33"/>
  <c r="O189" i="33"/>
  <c r="O151" i="33"/>
  <c r="O151" i="35"/>
  <c r="O134" i="33"/>
  <c r="O72" i="33"/>
  <c r="O53" i="33"/>
  <c r="O56" i="33"/>
  <c r="O57" i="33"/>
  <c r="H182" i="47"/>
  <c r="H182" i="35"/>
  <c r="H182" i="42"/>
  <c r="M361" i="47"/>
  <c r="H358" i="46"/>
  <c r="P330" i="46"/>
  <c r="R330" i="46" s="1"/>
  <c r="H294" i="47"/>
  <c r="H294" i="42"/>
  <c r="H294" i="35"/>
  <c r="H315" i="47"/>
  <c r="H315" i="35"/>
  <c r="H315" i="42"/>
  <c r="H239" i="47"/>
  <c r="H239" i="35"/>
  <c r="H239" i="42"/>
  <c r="H273" i="47"/>
  <c r="H273" i="42"/>
  <c r="H273" i="35"/>
  <c r="G322" i="47"/>
  <c r="G322" i="35"/>
  <c r="G322" i="42"/>
  <c r="G273" i="47"/>
  <c r="G273" i="42"/>
  <c r="G273" i="35"/>
  <c r="O43" i="35"/>
  <c r="O56" i="35"/>
  <c r="O59" i="35"/>
  <c r="O102" i="35"/>
  <c r="O105" i="35"/>
  <c r="O116" i="35"/>
  <c r="O149" i="35"/>
  <c r="O188" i="35"/>
  <c r="O215" i="35"/>
  <c r="O249" i="35"/>
  <c r="O69" i="35"/>
  <c r="O80" i="35"/>
  <c r="O83" i="35"/>
  <c r="O91" i="35"/>
  <c r="O94" i="35"/>
  <c r="O138" i="35"/>
  <c r="O161" i="35"/>
  <c r="O177" i="35"/>
  <c r="O230" i="35"/>
  <c r="O234" i="35"/>
  <c r="O278" i="35"/>
  <c r="O324" i="35"/>
  <c r="O66" i="35"/>
  <c r="O104" i="35"/>
  <c r="O112" i="35"/>
  <c r="O118" i="35"/>
  <c r="O157" i="35"/>
  <c r="O184" i="35"/>
  <c r="O68" i="35"/>
  <c r="O96" i="35"/>
  <c r="O99" i="35"/>
  <c r="O109" i="35"/>
  <c r="O179" i="35"/>
  <c r="O206" i="35"/>
  <c r="O209" i="35"/>
  <c r="O140" i="35"/>
  <c r="O147" i="35"/>
  <c r="O189" i="35"/>
  <c r="O192" i="35"/>
  <c r="O198" i="35"/>
  <c r="O219" i="35"/>
  <c r="O225" i="35"/>
  <c r="O45" i="35"/>
  <c r="O50" i="35"/>
  <c r="O73" i="35"/>
  <c r="O76" i="35"/>
  <c r="O97" i="35"/>
  <c r="O119" i="35"/>
  <c r="O122" i="35"/>
  <c r="O125" i="35"/>
  <c r="O142" i="35"/>
  <c r="O150" i="35"/>
  <c r="O166" i="35"/>
  <c r="O181" i="35"/>
  <c r="O185" i="35"/>
  <c r="O235" i="35"/>
  <c r="O265" i="35"/>
  <c r="O296" i="35"/>
  <c r="O318" i="35"/>
  <c r="O320" i="35"/>
  <c r="O252" i="35"/>
  <c r="O54" i="35"/>
  <c r="O132" i="35"/>
  <c r="O180" i="35"/>
  <c r="O202" i="35"/>
  <c r="O275" i="35"/>
  <c r="O298" i="35"/>
  <c r="O51" i="35"/>
  <c r="O92" i="35"/>
  <c r="O130" i="35"/>
  <c r="O152" i="35"/>
  <c r="O169" i="35"/>
  <c r="O172" i="35"/>
  <c r="O175" i="35"/>
  <c r="O191" i="35"/>
  <c r="O201" i="35"/>
  <c r="O210" i="35"/>
  <c r="O250" i="35"/>
  <c r="O253" i="35"/>
  <c r="O290" i="35"/>
  <c r="O55" i="35"/>
  <c r="O58" i="35"/>
  <c r="O98" i="35"/>
  <c r="O144" i="35"/>
  <c r="O196" i="35"/>
  <c r="O199" i="35"/>
  <c r="O228" i="35"/>
  <c r="O244" i="35"/>
  <c r="O259" i="35"/>
  <c r="O332" i="46"/>
  <c r="J335" i="47"/>
  <c r="J335" i="46"/>
  <c r="O333" i="46"/>
  <c r="K331" i="43"/>
  <c r="K334" i="46"/>
  <c r="K334" i="47"/>
  <c r="K234" i="43"/>
  <c r="O234" i="43" s="1"/>
  <c r="P234" i="43" s="1"/>
  <c r="R234" i="43" s="1"/>
  <c r="K237" i="46"/>
  <c r="K237" i="47"/>
  <c r="K335" i="46"/>
  <c r="K335" i="47"/>
  <c r="K237" i="43"/>
  <c r="J334" i="47"/>
  <c r="J334" i="46"/>
  <c r="I334" i="46"/>
  <c r="I334" i="47"/>
  <c r="I335" i="43"/>
  <c r="I335" i="46"/>
  <c r="I335" i="47"/>
  <c r="L335" i="46"/>
  <c r="L334" i="46"/>
  <c r="H28" i="42"/>
  <c r="H28" i="35"/>
  <c r="G28" i="42"/>
  <c r="G28" i="35"/>
  <c r="G27" i="35"/>
  <c r="G27" i="42"/>
  <c r="G7" i="35"/>
  <c r="G7" i="42"/>
  <c r="H10" i="42"/>
  <c r="H10" i="35"/>
  <c r="O260" i="33"/>
  <c r="O257" i="35"/>
  <c r="O259" i="33"/>
  <c r="P259" i="33" s="1"/>
  <c r="R259" i="33" s="1"/>
  <c r="H336" i="35"/>
  <c r="H336" i="42"/>
  <c r="O99" i="33"/>
  <c r="K335" i="43"/>
  <c r="K332" i="43"/>
  <c r="O332" i="43" s="1"/>
  <c r="P257" i="43" s="1"/>
  <c r="R257" i="43" s="1"/>
  <c r="I334" i="43"/>
  <c r="O333" i="43"/>
  <c r="K334" i="43"/>
  <c r="J334" i="43"/>
  <c r="G336" i="35"/>
  <c r="O270" i="35"/>
  <c r="O197" i="33"/>
  <c r="O197" i="35"/>
  <c r="O153" i="35"/>
  <c r="O255" i="35"/>
  <c r="O255" i="33"/>
  <c r="P255" i="33" s="1"/>
  <c r="R255" i="33" s="1"/>
  <c r="O288" i="33"/>
  <c r="O285" i="33"/>
  <c r="O39" i="35"/>
  <c r="O38" i="33"/>
  <c r="O54" i="33"/>
  <c r="O274" i="35"/>
  <c r="O40" i="33"/>
  <c r="O40" i="35"/>
  <c r="O325" i="33"/>
  <c r="O305" i="33"/>
  <c r="O299" i="33"/>
  <c r="O289" i="33"/>
  <c r="O254" i="33"/>
  <c r="O228" i="33"/>
  <c r="O226" i="33"/>
  <c r="O215" i="33"/>
  <c r="O201" i="33"/>
  <c r="O198" i="33"/>
  <c r="O188" i="33"/>
  <c r="O179" i="33"/>
  <c r="O176" i="33"/>
  <c r="O164" i="33"/>
  <c r="O148" i="33"/>
  <c r="O128" i="33"/>
  <c r="O119" i="33"/>
  <c r="O112" i="33"/>
  <c r="O106" i="33"/>
  <c r="O103" i="33"/>
  <c r="O84" i="33"/>
  <c r="O81" i="33"/>
  <c r="O55" i="33"/>
  <c r="O49" i="33"/>
  <c r="O45" i="33"/>
  <c r="P45" i="33" s="1"/>
  <c r="R45" i="33" s="1"/>
  <c r="O44" i="35"/>
  <c r="O67" i="35"/>
  <c r="O311" i="33"/>
  <c r="O308" i="33"/>
  <c r="O302" i="33"/>
  <c r="O296" i="33"/>
  <c r="O293" i="33"/>
  <c r="O286" i="33"/>
  <c r="O276" i="33"/>
  <c r="O265" i="33"/>
  <c r="O135" i="33"/>
  <c r="O115" i="33"/>
  <c r="O109" i="33"/>
  <c r="O318" i="33"/>
  <c r="O309" i="33"/>
  <c r="O303" i="33"/>
  <c r="O269" i="33"/>
  <c r="O262" i="33"/>
  <c r="O223" i="33"/>
  <c r="O202" i="33"/>
  <c r="O199" i="33"/>
  <c r="O196" i="33"/>
  <c r="O193" i="33"/>
  <c r="O190" i="33"/>
  <c r="O186" i="33"/>
  <c r="O169" i="33"/>
  <c r="O168" i="33"/>
  <c r="O165" i="33"/>
  <c r="O139" i="33"/>
  <c r="O136" i="33"/>
  <c r="O133" i="33"/>
  <c r="O129" i="33"/>
  <c r="O127" i="33"/>
  <c r="O126" i="33"/>
  <c r="O113" i="33"/>
  <c r="O89" i="33"/>
  <c r="O82" i="33"/>
  <c r="O71" i="33"/>
  <c r="O46" i="33"/>
  <c r="P46" i="33" s="1"/>
  <c r="R46" i="33" s="1"/>
  <c r="O49" i="35"/>
  <c r="O306" i="33"/>
  <c r="O300" i="33"/>
  <c r="O297" i="33"/>
  <c r="O252" i="33"/>
  <c r="O227" i="33"/>
  <c r="O216" i="33"/>
  <c r="O214" i="33"/>
  <c r="O206" i="33"/>
  <c r="O203" i="33"/>
  <c r="O194" i="33"/>
  <c r="O187" i="33"/>
  <c r="O184" i="33"/>
  <c r="O181" i="33"/>
  <c r="O159" i="33"/>
  <c r="O153" i="33"/>
  <c r="O150" i="33"/>
  <c r="O143" i="33"/>
  <c r="O137" i="33"/>
  <c r="O123" i="33"/>
  <c r="O93" i="33"/>
  <c r="O75" i="33"/>
  <c r="O63" i="33"/>
  <c r="O43" i="33"/>
  <c r="P43" i="33" s="1"/>
  <c r="R43" i="33" s="1"/>
  <c r="O41" i="33"/>
  <c r="O46" i="35"/>
  <c r="O62" i="35"/>
  <c r="O74" i="35"/>
  <c r="O316" i="33"/>
  <c r="O307" i="33"/>
  <c r="O301" i="33"/>
  <c r="O292" i="33"/>
  <c r="O218" i="33"/>
  <c r="O207" i="33"/>
  <c r="O204" i="33"/>
  <c r="O157" i="33"/>
  <c r="O141" i="33"/>
  <c r="O114" i="33"/>
  <c r="O111" i="33"/>
  <c r="O94" i="33"/>
  <c r="O91" i="33"/>
  <c r="O83" i="33"/>
  <c r="O79" i="33"/>
  <c r="O76" i="33"/>
  <c r="O73" i="33"/>
  <c r="O64" i="33"/>
  <c r="O61" i="33"/>
  <c r="O47" i="33"/>
  <c r="P47" i="33" s="1"/>
  <c r="R47" i="33" s="1"/>
  <c r="O71" i="35"/>
  <c r="O81" i="35"/>
  <c r="O84" i="35"/>
  <c r="O103" i="35"/>
  <c r="O113" i="35"/>
  <c r="O133" i="35"/>
  <c r="O154" i="35"/>
  <c r="O190" i="35"/>
  <c r="O203" i="35"/>
  <c r="O227" i="35"/>
  <c r="O241" i="35"/>
  <c r="O262" i="35"/>
  <c r="O279" i="35"/>
  <c r="O325" i="35"/>
  <c r="O38" i="35"/>
  <c r="O65" i="35"/>
  <c r="O77" i="35"/>
  <c r="O106" i="35"/>
  <c r="O123" i="35"/>
  <c r="O126" i="35"/>
  <c r="O160" i="35"/>
  <c r="O164" i="35"/>
  <c r="O170" i="35"/>
  <c r="O173" i="35"/>
  <c r="O187" i="35"/>
  <c r="O193" i="35"/>
  <c r="O216" i="35"/>
  <c r="O221" i="35"/>
  <c r="O223" i="35"/>
  <c r="O251" i="35"/>
  <c r="O254" i="35"/>
  <c r="O258" i="35"/>
  <c r="O269" i="35"/>
  <c r="O276" i="35"/>
  <c r="O292" i="35"/>
  <c r="O295" i="35"/>
  <c r="O313" i="35"/>
  <c r="O317" i="35"/>
  <c r="O321" i="35"/>
  <c r="O328" i="35"/>
  <c r="O115" i="35"/>
  <c r="O135" i="35"/>
  <c r="O139" i="35"/>
  <c r="O148" i="35"/>
  <c r="O163" i="35"/>
  <c r="O176" i="35"/>
  <c r="O213" i="35"/>
  <c r="O233" i="35"/>
  <c r="O243" i="35"/>
  <c r="O247" i="35"/>
  <c r="O271" i="35"/>
  <c r="O285" i="35"/>
  <c r="O288" i="35"/>
  <c r="O312" i="35"/>
  <c r="O327" i="35"/>
  <c r="O42" i="35"/>
  <c r="O47" i="35"/>
  <c r="O57" i="35"/>
  <c r="O72" i="35"/>
  <c r="O79" i="35"/>
  <c r="O82" i="35"/>
  <c r="O90" i="35"/>
  <c r="O111" i="35"/>
  <c r="O114" i="35"/>
  <c r="O121" i="35"/>
  <c r="O128" i="35"/>
  <c r="O134" i="35"/>
  <c r="O141" i="35"/>
  <c r="O159" i="35"/>
  <c r="O162" i="35"/>
  <c r="O165" i="35"/>
  <c r="O178" i="35"/>
  <c r="O204" i="35"/>
  <c r="O205" i="35"/>
  <c r="O208" i="35"/>
  <c r="O222" i="35"/>
  <c r="O242" i="35"/>
  <c r="O264" i="35"/>
  <c r="O281" i="35"/>
  <c r="O284" i="35"/>
  <c r="O287" i="35"/>
  <c r="O299" i="35"/>
  <c r="O300" i="35"/>
  <c r="O319" i="35"/>
  <c r="O323" i="35"/>
  <c r="O41" i="35"/>
  <c r="O53" i="35"/>
  <c r="O63" i="35"/>
  <c r="O75" i="35"/>
  <c r="O93" i="35"/>
  <c r="O107" i="35"/>
  <c r="O117" i="35"/>
  <c r="O124" i="35"/>
  <c r="O127" i="35"/>
  <c r="O137" i="35"/>
  <c r="O155" i="35"/>
  <c r="O158" i="35"/>
  <c r="O168" i="35"/>
  <c r="O171" i="35"/>
  <c r="O174" i="35"/>
  <c r="O194" i="35"/>
  <c r="O195" i="35"/>
  <c r="O207" i="35"/>
  <c r="O211" i="35"/>
  <c r="O224" i="35"/>
  <c r="O229" i="35"/>
  <c r="O260" i="35"/>
  <c r="O263" i="35"/>
  <c r="O266" i="35"/>
  <c r="O267" i="35"/>
  <c r="O280" i="35"/>
  <c r="O283" i="35"/>
  <c r="O293" i="35"/>
  <c r="O311" i="35"/>
  <c r="O326" i="35"/>
  <c r="O329" i="35"/>
  <c r="O314" i="33"/>
  <c r="O313" i="33"/>
  <c r="O312" i="33"/>
  <c r="O310" i="33"/>
  <c r="O302" i="35"/>
  <c r="O306" i="35"/>
  <c r="O308" i="35"/>
  <c r="O310" i="35"/>
  <c r="O301" i="35"/>
  <c r="O303" i="35"/>
  <c r="O305" i="35"/>
  <c r="O307" i="35"/>
  <c r="O309" i="35"/>
  <c r="O256" i="35"/>
  <c r="O192" i="33"/>
  <c r="O155" i="33"/>
  <c r="O156" i="35"/>
  <c r="O143" i="35"/>
  <c r="O218" i="35"/>
  <c r="O226" i="35"/>
  <c r="O232" i="35"/>
  <c r="O290" i="33"/>
  <c r="O282" i="33"/>
  <c r="O277" i="33"/>
  <c r="O270" i="33"/>
  <c r="O266" i="33"/>
  <c r="P266" i="33" s="1"/>
  <c r="R266" i="33" s="1"/>
  <c r="O258" i="33"/>
  <c r="P258" i="33" s="1"/>
  <c r="R258" i="33" s="1"/>
  <c r="O250" i="33"/>
  <c r="P250" i="33" s="1"/>
  <c r="R250" i="33" s="1"/>
  <c r="O283" i="33"/>
  <c r="O278" i="33"/>
  <c r="O253" i="33"/>
  <c r="O245" i="33"/>
  <c r="P245" i="33" s="1"/>
  <c r="R245" i="33" s="1"/>
  <c r="O242" i="33"/>
  <c r="O287" i="33"/>
  <c r="O279" i="33"/>
  <c r="O274" i="33"/>
  <c r="O257" i="33"/>
  <c r="P257" i="33" s="1"/>
  <c r="R257" i="33" s="1"/>
  <c r="O249" i="33"/>
  <c r="P249" i="33" s="1"/>
  <c r="R249" i="33" s="1"/>
  <c r="O246" i="33"/>
  <c r="P246" i="33" s="1"/>
  <c r="R246" i="33" s="1"/>
  <c r="O241" i="33"/>
  <c r="P241" i="33" s="1"/>
  <c r="R241" i="33" s="1"/>
  <c r="O160" i="33"/>
  <c r="O140" i="33"/>
  <c r="D9" i="36" l="1"/>
  <c r="D31" i="36"/>
  <c r="D262" i="36"/>
  <c r="D18" i="36"/>
  <c r="D24" i="36"/>
  <c r="D21" i="36"/>
  <c r="D11" i="36"/>
  <c r="P42" i="46"/>
  <c r="P241" i="46"/>
  <c r="R241" i="46" s="1"/>
  <c r="P258" i="46"/>
  <c r="R258" i="46" s="1"/>
  <c r="P44" i="46"/>
  <c r="P249" i="46"/>
  <c r="R249" i="46" s="1"/>
  <c r="P339" i="43"/>
  <c r="P352" i="43"/>
  <c r="P355" i="43"/>
  <c r="P358" i="43"/>
  <c r="P360" i="43"/>
  <c r="P350" i="43"/>
  <c r="P353" i="43"/>
  <c r="P356" i="43"/>
  <c r="P357" i="43"/>
  <c r="P359" i="43"/>
  <c r="P351" i="43"/>
  <c r="P354" i="43"/>
  <c r="P247" i="46"/>
  <c r="R247" i="46" s="1"/>
  <c r="P263" i="46"/>
  <c r="R263" i="46" s="1"/>
  <c r="P266" i="46"/>
  <c r="P257" i="46"/>
  <c r="R257" i="46" s="1"/>
  <c r="P246" i="46"/>
  <c r="R246" i="46" s="1"/>
  <c r="P245" i="46"/>
  <c r="R245" i="46" s="1"/>
  <c r="P345" i="43"/>
  <c r="P341" i="43"/>
  <c r="P348" i="43"/>
  <c r="P342" i="43"/>
  <c r="P346" i="43"/>
  <c r="P338" i="43"/>
  <c r="P344" i="43"/>
  <c r="P347" i="43"/>
  <c r="P349" i="43"/>
  <c r="P337" i="43"/>
  <c r="P340" i="43"/>
  <c r="P343" i="43"/>
  <c r="D35" i="36"/>
  <c r="D29" i="36"/>
  <c r="D254" i="36"/>
  <c r="D30" i="36"/>
  <c r="D268" i="36"/>
  <c r="D34" i="36"/>
  <c r="D248" i="36"/>
  <c r="D261" i="36"/>
  <c r="H36" i="47"/>
  <c r="H36" i="35"/>
  <c r="H36" i="42"/>
  <c r="D6" i="36"/>
  <c r="D25" i="36"/>
  <c r="D13" i="36"/>
  <c r="D8" i="36"/>
  <c r="D19" i="36"/>
  <c r="D15" i="36"/>
  <c r="D16" i="36"/>
  <c r="D10" i="36"/>
  <c r="D17" i="36"/>
  <c r="D14" i="36"/>
  <c r="D12" i="36"/>
  <c r="D23" i="36"/>
  <c r="D4" i="36"/>
  <c r="D20" i="36"/>
  <c r="G95" i="47"/>
  <c r="G95" i="35"/>
  <c r="G95" i="42"/>
  <c r="G341" i="47"/>
  <c r="G341" i="42"/>
  <c r="G341" i="35"/>
  <c r="C331" i="38"/>
  <c r="T302" i="33"/>
  <c r="C331" i="36"/>
  <c r="D214" i="38"/>
  <c r="D209" i="38"/>
  <c r="D207" i="38"/>
  <c r="D205" i="38"/>
  <c r="D203" i="38"/>
  <c r="D143" i="38"/>
  <c r="D141" i="38"/>
  <c r="D124" i="38"/>
  <c r="D98" i="38"/>
  <c r="D71" i="38"/>
  <c r="D224" i="38"/>
  <c r="D218" i="38"/>
  <c r="D156" i="38"/>
  <c r="D130" i="38"/>
  <c r="D92" i="38"/>
  <c r="D82" i="38"/>
  <c r="D235" i="38"/>
  <c r="D229" i="38"/>
  <c r="D129" i="38"/>
  <c r="D126" i="38"/>
  <c r="C86" i="38"/>
  <c r="D58" i="38"/>
  <c r="D232" i="38"/>
  <c r="D222" i="38"/>
  <c r="D172" i="38"/>
  <c r="D167" i="38"/>
  <c r="D160" i="38"/>
  <c r="D150" i="38"/>
  <c r="D96" i="38"/>
  <c r="D53" i="38"/>
  <c r="D225" i="38"/>
  <c r="D223" i="38"/>
  <c r="D221" i="38"/>
  <c r="D219" i="38"/>
  <c r="D217" i="38"/>
  <c r="D215" i="38"/>
  <c r="D213" i="38"/>
  <c r="D211" i="38"/>
  <c r="D195" i="38"/>
  <c r="D192" i="38"/>
  <c r="D189" i="38"/>
  <c r="D186" i="38"/>
  <c r="D181" i="38"/>
  <c r="D179" i="38"/>
  <c r="D177" i="38"/>
  <c r="D175" i="38"/>
  <c r="D173" i="38"/>
  <c r="D171" i="38"/>
  <c r="D169" i="38"/>
  <c r="D163" i="38"/>
  <c r="D161" i="38"/>
  <c r="D159" i="38"/>
  <c r="D157" i="38"/>
  <c r="D155" i="38"/>
  <c r="D153" i="38"/>
  <c r="D151" i="38"/>
  <c r="D149" i="38"/>
  <c r="D147" i="38"/>
  <c r="D140" i="38"/>
  <c r="D117" i="38"/>
  <c r="D114" i="38"/>
  <c r="D111" i="38"/>
  <c r="D97" i="38"/>
  <c r="D95" i="38"/>
  <c r="D93" i="38"/>
  <c r="D91" i="38"/>
  <c r="D89" i="38"/>
  <c r="D88" i="38"/>
  <c r="D83" i="38"/>
  <c r="D56" i="38"/>
  <c r="D54" i="38"/>
  <c r="D220" i="38"/>
  <c r="D176" i="38"/>
  <c r="D170" i="38"/>
  <c r="D158" i="38"/>
  <c r="D152" i="38"/>
  <c r="D166" i="38"/>
  <c r="D144" i="38"/>
  <c r="D142" i="38"/>
  <c r="D128" i="38"/>
  <c r="D125" i="38"/>
  <c r="D178" i="38"/>
  <c r="D146" i="38"/>
  <c r="D127" i="38"/>
  <c r="D94" i="38"/>
  <c r="D79" i="38"/>
  <c r="D55" i="38"/>
  <c r="D234" i="38"/>
  <c r="D230" i="38"/>
  <c r="D210" i="38"/>
  <c r="D99" i="38"/>
  <c r="D59" i="38"/>
  <c r="D226" i="38"/>
  <c r="D216" i="38"/>
  <c r="D180" i="38"/>
  <c r="D174" i="38"/>
  <c r="D168" i="38"/>
  <c r="D162" i="38"/>
  <c r="D154" i="38"/>
  <c r="D148" i="38"/>
  <c r="D90" i="38"/>
  <c r="D84" i="38"/>
  <c r="D67" i="38"/>
  <c r="D73" i="38"/>
  <c r="D145" i="38"/>
  <c r="D212" i="38"/>
  <c r="D61" i="38"/>
  <c r="D115" i="38"/>
  <c r="D69" i="38"/>
  <c r="D123" i="38"/>
  <c r="D199" i="38"/>
  <c r="D60" i="38"/>
  <c r="D185" i="38"/>
  <c r="D118" i="38"/>
  <c r="D208" i="38"/>
  <c r="D66" i="38"/>
  <c r="D113" i="38"/>
  <c r="D135" i="38"/>
  <c r="D76" i="38"/>
  <c r="D182" i="38"/>
  <c r="D64" i="38"/>
  <c r="D184" i="38"/>
  <c r="D74" i="38"/>
  <c r="D133" i="38"/>
  <c r="D201" i="38"/>
  <c r="D65" i="38"/>
  <c r="D191" i="38"/>
  <c r="D70" i="38"/>
  <c r="D121" i="38"/>
  <c r="D227" i="38"/>
  <c r="D68" i="38"/>
  <c r="D119" i="38"/>
  <c r="D164" i="38"/>
  <c r="D62" i="38"/>
  <c r="D122" i="38"/>
  <c r="D188" i="38"/>
  <c r="D81" i="38"/>
  <c r="D77" i="38"/>
  <c r="D136" i="38"/>
  <c r="D204" i="38"/>
  <c r="D101" i="38"/>
  <c r="D233" i="38"/>
  <c r="D75" i="38"/>
  <c r="D134" i="38"/>
  <c r="D100" i="38"/>
  <c r="D183" i="38"/>
  <c r="D228" i="38"/>
  <c r="D72" i="38"/>
  <c r="D194" i="38"/>
  <c r="D103" i="38"/>
  <c r="D110" i="38"/>
  <c r="D139" i="38"/>
  <c r="D104" i="38"/>
  <c r="D137" i="38"/>
  <c r="D132" i="38"/>
  <c r="D131" i="38"/>
  <c r="D198" i="38"/>
  <c r="D106" i="38"/>
  <c r="D116" i="38"/>
  <c r="D190" i="38"/>
  <c r="D107" i="38"/>
  <c r="D80" i="38"/>
  <c r="D197" i="38"/>
  <c r="D105" i="38"/>
  <c r="D193" i="38"/>
  <c r="D202" i="38"/>
  <c r="D138" i="38"/>
  <c r="D206" i="38"/>
  <c r="D52" i="38"/>
  <c r="D109" i="38"/>
  <c r="D57" i="38"/>
  <c r="D120" i="38"/>
  <c r="D196" i="38"/>
  <c r="D165" i="38"/>
  <c r="D112" i="38"/>
  <c r="D200" i="38"/>
  <c r="D63" i="38"/>
  <c r="D108" i="38"/>
  <c r="D78" i="38"/>
  <c r="D187" i="38"/>
  <c r="D102" i="38"/>
  <c r="C332" i="38"/>
  <c r="D231" i="38"/>
  <c r="D85" i="38"/>
  <c r="D330" i="38"/>
  <c r="D236" i="38"/>
  <c r="D86" i="36"/>
  <c r="C237" i="36"/>
  <c r="C334" i="36"/>
  <c r="D314" i="36"/>
  <c r="D311" i="36"/>
  <c r="D308" i="36"/>
  <c r="D321" i="36"/>
  <c r="D275" i="36"/>
  <c r="D329" i="36"/>
  <c r="D327" i="36"/>
  <c r="D292" i="36"/>
  <c r="D290" i="36"/>
  <c r="D287" i="36"/>
  <c r="D284" i="36"/>
  <c r="D281" i="36"/>
  <c r="D278" i="36"/>
  <c r="D320" i="36"/>
  <c r="D313" i="36"/>
  <c r="D310" i="36"/>
  <c r="D307" i="36"/>
  <c r="D276" i="36"/>
  <c r="D274" i="36"/>
  <c r="D288" i="36"/>
  <c r="D279" i="36"/>
  <c r="D289" i="36"/>
  <c r="D286" i="36"/>
  <c r="D283" i="36"/>
  <c r="D280" i="36"/>
  <c r="D285" i="36"/>
  <c r="D328" i="36"/>
  <c r="D312" i="36"/>
  <c r="D309" i="36"/>
  <c r="D306" i="36"/>
  <c r="D293" i="36"/>
  <c r="D291" i="36"/>
  <c r="D282" i="36"/>
  <c r="D304" i="36"/>
  <c r="D299" i="36"/>
  <c r="D323" i="36"/>
  <c r="D324" i="36"/>
  <c r="D317" i="36"/>
  <c r="D302" i="36"/>
  <c r="D273" i="36"/>
  <c r="D326" i="36"/>
  <c r="D296" i="36"/>
  <c r="D305" i="36"/>
  <c r="D295" i="36"/>
  <c r="D325" i="36"/>
  <c r="D300" i="36"/>
  <c r="D297" i="36"/>
  <c r="D318" i="36"/>
  <c r="D298" i="36"/>
  <c r="D322" i="36"/>
  <c r="D303" i="36"/>
  <c r="D277" i="36"/>
  <c r="D301" i="36"/>
  <c r="D294" i="36"/>
  <c r="D316" i="36"/>
  <c r="D319" i="36"/>
  <c r="D315" i="36"/>
  <c r="D333" i="36"/>
  <c r="P269" i="46"/>
  <c r="P271" i="46"/>
  <c r="P255" i="43"/>
  <c r="R255" i="43" s="1"/>
  <c r="P269" i="43"/>
  <c r="H2" i="47"/>
  <c r="H27" i="47"/>
  <c r="P47" i="46"/>
  <c r="R47" i="46" s="1"/>
  <c r="P46" i="46"/>
  <c r="R46" i="46" s="1"/>
  <c r="P51" i="46"/>
  <c r="R51" i="46" s="1"/>
  <c r="P255" i="46"/>
  <c r="R255" i="46" s="1"/>
  <c r="P46" i="35"/>
  <c r="P249" i="35"/>
  <c r="P259" i="35"/>
  <c r="P266" i="35"/>
  <c r="P258" i="35"/>
  <c r="P50" i="35"/>
  <c r="P260" i="35"/>
  <c r="P45" i="35"/>
  <c r="P47" i="35"/>
  <c r="P271" i="35"/>
  <c r="P250" i="35"/>
  <c r="P252" i="43"/>
  <c r="R252" i="43" s="1"/>
  <c r="P51" i="43"/>
  <c r="R51" i="43" s="1"/>
  <c r="P33" i="46"/>
  <c r="R33" i="46" s="1"/>
  <c r="P252" i="46"/>
  <c r="R252" i="46" s="1"/>
  <c r="P263" i="43"/>
  <c r="R263" i="43" s="1"/>
  <c r="P33" i="43"/>
  <c r="R33" i="43" s="1"/>
  <c r="H27" i="42"/>
  <c r="G332" i="47"/>
  <c r="O237" i="46"/>
  <c r="P237" i="46" s="1"/>
  <c r="R237" i="46" s="1"/>
  <c r="O237" i="43"/>
  <c r="P237" i="43" s="1"/>
  <c r="R237" i="43" s="1"/>
  <c r="H85" i="47"/>
  <c r="H85" i="42"/>
  <c r="H27" i="35"/>
  <c r="G238" i="47"/>
  <c r="G238" i="42"/>
  <c r="G238" i="35"/>
  <c r="G100" i="47"/>
  <c r="G100" i="35"/>
  <c r="G100" i="42"/>
  <c r="G85" i="35"/>
  <c r="G85" i="47"/>
  <c r="G85" i="42"/>
  <c r="G2" i="42"/>
  <c r="G2" i="47"/>
  <c r="G182" i="47"/>
  <c r="G182" i="35"/>
  <c r="G182" i="42"/>
  <c r="H236" i="47"/>
  <c r="H236" i="42"/>
  <c r="P35" i="46"/>
  <c r="R35" i="46" s="1"/>
  <c r="P43" i="46"/>
  <c r="P254" i="46"/>
  <c r="R254" i="46" s="1"/>
  <c r="P273" i="46"/>
  <c r="R273" i="46" s="1"/>
  <c r="P279" i="46"/>
  <c r="P240" i="46"/>
  <c r="R240" i="46" s="1"/>
  <c r="P294" i="46"/>
  <c r="R294" i="46" s="1"/>
  <c r="P313" i="46"/>
  <c r="R313" i="46" s="1"/>
  <c r="P297" i="46"/>
  <c r="P312" i="46"/>
  <c r="R312" i="46" s="1"/>
  <c r="P285" i="46"/>
  <c r="P310" i="46"/>
  <c r="R310" i="46" s="1"/>
  <c r="P265" i="46"/>
  <c r="R265" i="46" s="1"/>
  <c r="H238" i="47"/>
  <c r="H238" i="35"/>
  <c r="H238" i="42"/>
  <c r="H330" i="47"/>
  <c r="H330" i="35"/>
  <c r="H330" i="42"/>
  <c r="G330" i="47"/>
  <c r="G330" i="42"/>
  <c r="G330" i="35"/>
  <c r="P316" i="46"/>
  <c r="R316" i="46" s="1"/>
  <c r="P32" i="46"/>
  <c r="R32" i="46" s="1"/>
  <c r="P299" i="46"/>
  <c r="P261" i="46"/>
  <c r="R261" i="46" s="1"/>
  <c r="P306" i="46"/>
  <c r="P281" i="46"/>
  <c r="P295" i="46"/>
  <c r="R295" i="46" s="1"/>
  <c r="P305" i="46"/>
  <c r="P268" i="46"/>
  <c r="P290" i="46"/>
  <c r="P302" i="46"/>
  <c r="P324" i="46"/>
  <c r="R324" i="46" s="1"/>
  <c r="P277" i="46"/>
  <c r="R277" i="46" s="1"/>
  <c r="P291" i="46"/>
  <c r="R291" i="46" s="1"/>
  <c r="P303" i="46"/>
  <c r="P49" i="46"/>
  <c r="P309" i="46"/>
  <c r="P317" i="46"/>
  <c r="P322" i="46"/>
  <c r="P304" i="46"/>
  <c r="P36" i="46"/>
  <c r="R36" i="46" s="1"/>
  <c r="P289" i="46"/>
  <c r="P264" i="46"/>
  <c r="R264" i="46" s="1"/>
  <c r="P280" i="46"/>
  <c r="P288" i="46"/>
  <c r="P300" i="46"/>
  <c r="P267" i="46"/>
  <c r="P323" i="46"/>
  <c r="P30" i="46"/>
  <c r="R30" i="46" s="1"/>
  <c r="P27" i="46"/>
  <c r="R27" i="46" s="1"/>
  <c r="P296" i="46"/>
  <c r="P34" i="46"/>
  <c r="R34" i="46" s="1"/>
  <c r="P311" i="46"/>
  <c r="R311" i="46" s="1"/>
  <c r="P274" i="46"/>
  <c r="R274" i="46" s="1"/>
  <c r="P307" i="46"/>
  <c r="P292" i="46"/>
  <c r="R292" i="46" s="1"/>
  <c r="P276" i="46"/>
  <c r="R276" i="46" s="1"/>
  <c r="P39" i="46"/>
  <c r="P275" i="46"/>
  <c r="R275" i="46" s="1"/>
  <c r="P37" i="46"/>
  <c r="R37" i="46" s="1"/>
  <c r="P38" i="46"/>
  <c r="P321" i="46"/>
  <c r="P282" i="46"/>
  <c r="P270" i="46"/>
  <c r="P318" i="46"/>
  <c r="P248" i="46"/>
  <c r="R248" i="46" s="1"/>
  <c r="P286" i="46"/>
  <c r="P29" i="46"/>
  <c r="R29" i="46" s="1"/>
  <c r="P283" i="46"/>
  <c r="P308" i="46"/>
  <c r="P262" i="46"/>
  <c r="R262" i="46" s="1"/>
  <c r="P40" i="46"/>
  <c r="P284" i="46"/>
  <c r="P242" i="46"/>
  <c r="R242" i="46" s="1"/>
  <c r="P31" i="46"/>
  <c r="R31" i="46" s="1"/>
  <c r="P315" i="46"/>
  <c r="R315" i="46" s="1"/>
  <c r="P314" i="46"/>
  <c r="R314" i="46" s="1"/>
  <c r="P301" i="46"/>
  <c r="P298" i="46"/>
  <c r="P239" i="46"/>
  <c r="R239" i="46" s="1"/>
  <c r="P320" i="46"/>
  <c r="P278" i="46"/>
  <c r="R278" i="46" s="1"/>
  <c r="P287" i="46"/>
  <c r="P293" i="46"/>
  <c r="R293" i="46" s="1"/>
  <c r="P325" i="46"/>
  <c r="R325" i="46" s="1"/>
  <c r="P319" i="46"/>
  <c r="P251" i="46"/>
  <c r="R251" i="46" s="1"/>
  <c r="P333" i="46"/>
  <c r="R333" i="46" s="1"/>
  <c r="J352" i="46"/>
  <c r="J361" i="47"/>
  <c r="J361" i="43"/>
  <c r="O335" i="46"/>
  <c r="O352" i="46" s="1"/>
  <c r="L361" i="47"/>
  <c r="O334" i="46"/>
  <c r="P334" i="46" s="1"/>
  <c r="R334" i="46" s="1"/>
  <c r="K349" i="43"/>
  <c r="K352" i="46"/>
  <c r="K361" i="47"/>
  <c r="I352" i="46"/>
  <c r="I361" i="47"/>
  <c r="L352" i="46"/>
  <c r="G332" i="42"/>
  <c r="G332" i="35"/>
  <c r="H2" i="35"/>
  <c r="H2" i="42"/>
  <c r="P254" i="43"/>
  <c r="R254" i="43" s="1"/>
  <c r="P248" i="43"/>
  <c r="R248" i="43" s="1"/>
  <c r="P277" i="43"/>
  <c r="R277" i="43" s="1"/>
  <c r="P240" i="43"/>
  <c r="R240" i="43" s="1"/>
  <c r="P310" i="43"/>
  <c r="R310" i="43" s="1"/>
  <c r="P321" i="43"/>
  <c r="P294" i="43"/>
  <c r="R294" i="43" s="1"/>
  <c r="P275" i="43"/>
  <c r="R275" i="43" s="1"/>
  <c r="P325" i="43"/>
  <c r="R325" i="43" s="1"/>
  <c r="P273" i="43"/>
  <c r="R273" i="43" s="1"/>
  <c r="P316" i="43"/>
  <c r="R316" i="43" s="1"/>
  <c r="P279" i="43"/>
  <c r="P319" i="43"/>
  <c r="P296" i="43"/>
  <c r="P305" i="43"/>
  <c r="P303" i="43"/>
  <c r="P289" i="43"/>
  <c r="P306" i="43"/>
  <c r="P287" i="43"/>
  <c r="P276" i="43"/>
  <c r="R276" i="43" s="1"/>
  <c r="P312" i="43"/>
  <c r="R312" i="43" s="1"/>
  <c r="P270" i="43"/>
  <c r="P304" i="43"/>
  <c r="P284" i="43"/>
  <c r="P242" i="43"/>
  <c r="R242" i="43" s="1"/>
  <c r="P40" i="43"/>
  <c r="P262" i="43"/>
  <c r="R262" i="43" s="1"/>
  <c r="P320" i="43"/>
  <c r="P49" i="43"/>
  <c r="R49" i="43" s="1"/>
  <c r="P323" i="43"/>
  <c r="P293" i="43"/>
  <c r="R293" i="43" s="1"/>
  <c r="P265" i="43"/>
  <c r="R265" i="43" s="1"/>
  <c r="P297" i="43"/>
  <c r="P34" i="43"/>
  <c r="R34" i="43" s="1"/>
  <c r="P261" i="43"/>
  <c r="R261" i="43" s="1"/>
  <c r="P288" i="43"/>
  <c r="P285" i="43"/>
  <c r="P27" i="43"/>
  <c r="R27" i="43" s="1"/>
  <c r="P264" i="43"/>
  <c r="R264" i="43" s="1"/>
  <c r="P308" i="43"/>
  <c r="P30" i="43"/>
  <c r="R30" i="43" s="1"/>
  <c r="P299" i="43"/>
  <c r="P298" i="43"/>
  <c r="P291" i="43"/>
  <c r="R291" i="43" s="1"/>
  <c r="P278" i="43"/>
  <c r="R278" i="43" s="1"/>
  <c r="P313" i="43"/>
  <c r="R313" i="43" s="1"/>
  <c r="P295" i="43"/>
  <c r="R295" i="43" s="1"/>
  <c r="P315" i="43"/>
  <c r="R315" i="43" s="1"/>
  <c r="P39" i="43"/>
  <c r="P37" i="43"/>
  <c r="R37" i="43" s="1"/>
  <c r="P36" i="43"/>
  <c r="R36" i="43" s="1"/>
  <c r="P268" i="43"/>
  <c r="P32" i="43"/>
  <c r="R32" i="43" s="1"/>
  <c r="P258" i="43"/>
  <c r="R258" i="43" s="1"/>
  <c r="P38" i="43"/>
  <c r="P286" i="43"/>
  <c r="P307" i="43"/>
  <c r="P31" i="43"/>
  <c r="R31" i="43" s="1"/>
  <c r="P300" i="43"/>
  <c r="P274" i="43"/>
  <c r="R274" i="43" s="1"/>
  <c r="P302" i="43"/>
  <c r="P283" i="43"/>
  <c r="P281" i="43"/>
  <c r="P267" i="43"/>
  <c r="P324" i="43"/>
  <c r="R324" i="43" s="1"/>
  <c r="P280" i="43"/>
  <c r="P317" i="43"/>
  <c r="P35" i="43"/>
  <c r="R35" i="43" s="1"/>
  <c r="P311" i="43"/>
  <c r="R311" i="43" s="1"/>
  <c r="P322" i="43"/>
  <c r="P318" i="43"/>
  <c r="P314" i="43"/>
  <c r="R314" i="43" s="1"/>
  <c r="P29" i="43"/>
  <c r="R29" i="43" s="1"/>
  <c r="P309" i="43"/>
  <c r="P282" i="43"/>
  <c r="P290" i="43"/>
  <c r="P292" i="43"/>
  <c r="R292" i="43" s="1"/>
  <c r="P239" i="43"/>
  <c r="R239" i="43" s="1"/>
  <c r="P301" i="43"/>
  <c r="I361" i="43"/>
  <c r="O334" i="43"/>
  <c r="P334" i="43" s="1"/>
  <c r="R334" i="43" s="1"/>
  <c r="P333" i="43"/>
  <c r="R333" i="43" s="1"/>
  <c r="O335" i="43"/>
  <c r="K361" i="43"/>
  <c r="H85" i="35"/>
  <c r="G2" i="35"/>
  <c r="D3" i="38"/>
  <c r="D2" i="38" s="1"/>
  <c r="D27" i="36"/>
  <c r="D3" i="36"/>
  <c r="G86" i="47"/>
  <c r="P336" i="43" l="1"/>
  <c r="D252" i="38"/>
  <c r="D33" i="38"/>
  <c r="D28" i="36"/>
  <c r="D238" i="36"/>
  <c r="D332" i="36" s="1"/>
  <c r="D29" i="38"/>
  <c r="D34" i="38"/>
  <c r="D35" i="38"/>
  <c r="D254" i="38"/>
  <c r="D268" i="38"/>
  <c r="D30" i="38"/>
  <c r="D248" i="38"/>
  <c r="D261" i="38"/>
  <c r="H331" i="47"/>
  <c r="H340" i="47"/>
  <c r="H340" i="42"/>
  <c r="O340" i="42" s="1"/>
  <c r="H340" i="35"/>
  <c r="O340" i="35" s="1"/>
  <c r="H95" i="47"/>
  <c r="H95" i="35"/>
  <c r="H95" i="42"/>
  <c r="H341" i="47"/>
  <c r="H341" i="42"/>
  <c r="O341" i="42" s="1"/>
  <c r="H341" i="35"/>
  <c r="O341" i="35" s="1"/>
  <c r="D2" i="36"/>
  <c r="D237" i="36"/>
  <c r="G246" i="47"/>
  <c r="G246" i="42"/>
  <c r="G246" i="35"/>
  <c r="C335" i="36"/>
  <c r="C361" i="36" s="1"/>
  <c r="G340" i="47"/>
  <c r="G362" i="47" s="1"/>
  <c r="G340" i="35"/>
  <c r="G340" i="42"/>
  <c r="D334" i="36"/>
  <c r="G343" i="42"/>
  <c r="G343" i="35"/>
  <c r="G331" i="47"/>
  <c r="D86" i="38"/>
  <c r="C237" i="38"/>
  <c r="C335" i="38"/>
  <c r="C361" i="38" s="1"/>
  <c r="C334" i="38"/>
  <c r="D319" i="38"/>
  <c r="D314" i="38"/>
  <c r="D311" i="38"/>
  <c r="D308" i="38"/>
  <c r="D305" i="38"/>
  <c r="D303" i="38"/>
  <c r="D301" i="38"/>
  <c r="D299" i="38"/>
  <c r="D297" i="38"/>
  <c r="D295" i="38"/>
  <c r="D329" i="38"/>
  <c r="D327" i="38"/>
  <c r="D292" i="38"/>
  <c r="D290" i="38"/>
  <c r="D287" i="38"/>
  <c r="D284" i="38"/>
  <c r="D281" i="38"/>
  <c r="D278" i="38"/>
  <c r="D320" i="38"/>
  <c r="D313" i="38"/>
  <c r="D310" i="38"/>
  <c r="D307" i="38"/>
  <c r="D276" i="38"/>
  <c r="D274" i="38"/>
  <c r="D285" i="38"/>
  <c r="D275" i="38"/>
  <c r="D289" i="38"/>
  <c r="D286" i="38"/>
  <c r="D283" i="38"/>
  <c r="D280" i="38"/>
  <c r="D328" i="38"/>
  <c r="D312" i="38"/>
  <c r="D309" i="38"/>
  <c r="D306" i="38"/>
  <c r="D293" i="38"/>
  <c r="D291" i="38"/>
  <c r="D321" i="38"/>
  <c r="D288" i="38"/>
  <c r="D282" i="38"/>
  <c r="D279" i="38"/>
  <c r="D326" i="38"/>
  <c r="D296" i="38"/>
  <c r="D294" i="38"/>
  <c r="D302" i="38"/>
  <c r="D273" i="38"/>
  <c r="D298" i="38"/>
  <c r="D300" i="38"/>
  <c r="D325" i="38"/>
  <c r="D316" i="38"/>
  <c r="D317" i="38"/>
  <c r="D323" i="38"/>
  <c r="D322" i="38"/>
  <c r="D324" i="38"/>
  <c r="D318" i="38"/>
  <c r="D304" i="38"/>
  <c r="D277" i="38"/>
  <c r="D315" i="38"/>
  <c r="D333" i="38"/>
  <c r="H86" i="47"/>
  <c r="P48" i="46"/>
  <c r="H332" i="47"/>
  <c r="G236" i="47"/>
  <c r="G236" i="42"/>
  <c r="G236" i="35"/>
  <c r="D27" i="38"/>
  <c r="H332" i="42"/>
  <c r="H332" i="35"/>
  <c r="H333" i="47"/>
  <c r="H333" i="42"/>
  <c r="P28" i="46"/>
  <c r="R49" i="46"/>
  <c r="P238" i="46"/>
  <c r="R238" i="46" s="1"/>
  <c r="P335" i="46"/>
  <c r="R335" i="46" s="1"/>
  <c r="H360" i="46"/>
  <c r="H364" i="46" s="1"/>
  <c r="H366" i="46" s="1"/>
  <c r="P352" i="46"/>
  <c r="H86" i="35"/>
  <c r="H86" i="42"/>
  <c r="G86" i="35"/>
  <c r="G86" i="42"/>
  <c r="G331" i="35"/>
  <c r="G331" i="42"/>
  <c r="H331" i="42"/>
  <c r="H331" i="35"/>
  <c r="P48" i="43"/>
  <c r="P238" i="43"/>
  <c r="R238" i="43" s="1"/>
  <c r="P28" i="43"/>
  <c r="P335" i="43"/>
  <c r="R335" i="43" s="1"/>
  <c r="O361" i="43"/>
  <c r="P361" i="43" s="1"/>
  <c r="H333" i="35"/>
  <c r="L8" i="10"/>
  <c r="L10" i="10" s="1"/>
  <c r="Q27" i="10"/>
  <c r="H362" i="47" l="1"/>
  <c r="D361" i="38"/>
  <c r="D238" i="38"/>
  <c r="D332" i="38" s="1"/>
  <c r="D361" i="36"/>
  <c r="G30" i="36"/>
  <c r="D28" i="38"/>
  <c r="D237" i="38"/>
  <c r="H246" i="47"/>
  <c r="H246" i="35"/>
  <c r="H246" i="42"/>
  <c r="D334" i="38"/>
  <c r="H343" i="35"/>
  <c r="O343" i="35" s="1"/>
  <c r="H343" i="42"/>
  <c r="O343" i="42" s="1"/>
  <c r="H344" i="35"/>
  <c r="O344" i="35" s="1"/>
  <c r="H344" i="42"/>
  <c r="O344" i="42" s="1"/>
  <c r="D335" i="36"/>
  <c r="G344" i="42"/>
  <c r="G344" i="35"/>
  <c r="D335" i="38"/>
  <c r="H237" i="47"/>
  <c r="F322" i="47"/>
  <c r="F322" i="35"/>
  <c r="F322" i="42"/>
  <c r="O322" i="42" s="1"/>
  <c r="F315" i="47"/>
  <c r="F315" i="35"/>
  <c r="F315" i="42"/>
  <c r="O315" i="42" s="1"/>
  <c r="F294" i="47"/>
  <c r="F294" i="35"/>
  <c r="F294" i="42"/>
  <c r="O294" i="42" s="1"/>
  <c r="F212" i="47"/>
  <c r="F212" i="42"/>
  <c r="O212" i="42" s="1"/>
  <c r="F212" i="35"/>
  <c r="F200" i="47"/>
  <c r="F200" i="35"/>
  <c r="F200" i="42"/>
  <c r="O200" i="42" s="1"/>
  <c r="F70" i="47"/>
  <c r="F70" i="42"/>
  <c r="O70" i="42" s="1"/>
  <c r="F70" i="35"/>
  <c r="F52" i="47"/>
  <c r="F52" i="42"/>
  <c r="O52" i="42" s="1"/>
  <c r="F52" i="35"/>
  <c r="H334" i="42"/>
  <c r="H334" i="47"/>
  <c r="H335" i="42"/>
  <c r="H335" i="47"/>
  <c r="G237" i="42"/>
  <c r="G237" i="47"/>
  <c r="G333" i="47"/>
  <c r="G333" i="42"/>
  <c r="F273" i="47"/>
  <c r="F273" i="42"/>
  <c r="O273" i="42" s="1"/>
  <c r="P332" i="46"/>
  <c r="H237" i="35"/>
  <c r="H237" i="42"/>
  <c r="P332" i="43"/>
  <c r="H334" i="35"/>
  <c r="H335" i="35"/>
  <c r="G237" i="35"/>
  <c r="G333" i="35"/>
  <c r="F273" i="35"/>
  <c r="O336" i="42" l="1"/>
  <c r="P356" i="42" s="1"/>
  <c r="O336" i="35"/>
  <c r="P354" i="35" s="1"/>
  <c r="P357" i="42"/>
  <c r="P360" i="42"/>
  <c r="P354" i="42"/>
  <c r="P355" i="42"/>
  <c r="P351" i="42"/>
  <c r="P358" i="42"/>
  <c r="P359" i="42"/>
  <c r="P352" i="42"/>
  <c r="P353" i="42"/>
  <c r="P340" i="42"/>
  <c r="P343" i="42"/>
  <c r="P348" i="42"/>
  <c r="P337" i="42"/>
  <c r="P347" i="42"/>
  <c r="P345" i="42"/>
  <c r="P349" i="42"/>
  <c r="P346" i="42"/>
  <c r="P339" i="42"/>
  <c r="P338" i="42"/>
  <c r="P342" i="42"/>
  <c r="P344" i="42"/>
  <c r="G335" i="47"/>
  <c r="F182" i="35"/>
  <c r="F182" i="47"/>
  <c r="F182" i="42"/>
  <c r="O182" i="42" s="1"/>
  <c r="H361" i="42"/>
  <c r="H361" i="47"/>
  <c r="G334" i="42"/>
  <c r="G334" i="47"/>
  <c r="F330" i="35"/>
  <c r="F330" i="47"/>
  <c r="F330" i="42"/>
  <c r="O330" i="42" s="1"/>
  <c r="G335" i="35"/>
  <c r="G335" i="42"/>
  <c r="H361" i="35"/>
  <c r="G334" i="35"/>
  <c r="N19" i="10"/>
  <c r="P350" i="42" l="1"/>
  <c r="P341" i="42"/>
  <c r="P336" i="42" s="1"/>
  <c r="P353" i="35"/>
  <c r="P348" i="35"/>
  <c r="P360" i="35"/>
  <c r="P358" i="35"/>
  <c r="P352" i="35"/>
  <c r="P356" i="35"/>
  <c r="P355" i="35"/>
  <c r="P357" i="35"/>
  <c r="P359" i="35"/>
  <c r="P351" i="35"/>
  <c r="P350" i="35"/>
  <c r="P340" i="35"/>
  <c r="P341" i="35"/>
  <c r="P339" i="35"/>
  <c r="P345" i="35"/>
  <c r="P343" i="35"/>
  <c r="P337" i="35"/>
  <c r="P344" i="35"/>
  <c r="P338" i="35"/>
  <c r="P349" i="35"/>
  <c r="P346" i="35"/>
  <c r="P342" i="35"/>
  <c r="P347" i="35"/>
  <c r="G361" i="47"/>
  <c r="G361" i="42"/>
  <c r="G361" i="35"/>
  <c r="P336" i="35" l="1"/>
  <c r="B351" i="32"/>
  <c r="B336" i="32"/>
  <c r="B335" i="32"/>
  <c r="B334" i="32"/>
  <c r="B333" i="32"/>
  <c r="B332" i="32"/>
  <c r="B331" i="32"/>
  <c r="B330" i="32"/>
  <c r="B329" i="32"/>
  <c r="B328" i="32"/>
  <c r="B327" i="32"/>
  <c r="B326" i="32"/>
  <c r="B325" i="32"/>
  <c r="B324" i="32"/>
  <c r="B323" i="32"/>
  <c r="B322" i="32"/>
  <c r="B321" i="32"/>
  <c r="B320" i="32"/>
  <c r="B319" i="32"/>
  <c r="B318" i="32"/>
  <c r="B317" i="32"/>
  <c r="B316" i="32"/>
  <c r="B315" i="32"/>
  <c r="B314" i="32"/>
  <c r="B313" i="32"/>
  <c r="B312" i="32"/>
  <c r="B311" i="32"/>
  <c r="B310" i="32"/>
  <c r="B309" i="32"/>
  <c r="B308" i="32"/>
  <c r="B307" i="32"/>
  <c r="B306" i="32"/>
  <c r="B305" i="32"/>
  <c r="B304" i="32"/>
  <c r="B303" i="32"/>
  <c r="B302" i="32"/>
  <c r="B301" i="32"/>
  <c r="B300" i="32"/>
  <c r="B299" i="32"/>
  <c r="B298" i="32"/>
  <c r="B297" i="32"/>
  <c r="B296" i="32"/>
  <c r="B295" i="32"/>
  <c r="B294" i="32"/>
  <c r="B293" i="32"/>
  <c r="B292" i="32"/>
  <c r="B291" i="32"/>
  <c r="B290" i="32"/>
  <c r="B289" i="32"/>
  <c r="B288" i="32"/>
  <c r="B287" i="32"/>
  <c r="B286" i="32"/>
  <c r="B285" i="32"/>
  <c r="B284" i="32"/>
  <c r="B283" i="32"/>
  <c r="B282" i="32"/>
  <c r="B281" i="32"/>
  <c r="B280" i="32"/>
  <c r="B279" i="32"/>
  <c r="B278" i="32"/>
  <c r="B277" i="32"/>
  <c r="B276" i="32"/>
  <c r="B275" i="32"/>
  <c r="B274" i="32"/>
  <c r="B273" i="32"/>
  <c r="B272" i="32"/>
  <c r="B271" i="32"/>
  <c r="B270" i="32"/>
  <c r="B269" i="32"/>
  <c r="B268" i="32"/>
  <c r="B267" i="32"/>
  <c r="B266" i="32"/>
  <c r="B265" i="32"/>
  <c r="B264" i="32"/>
  <c r="B263" i="32"/>
  <c r="B262" i="32"/>
  <c r="B261" i="32"/>
  <c r="B260" i="32"/>
  <c r="B259" i="32"/>
  <c r="B258" i="32"/>
  <c r="B257" i="32"/>
  <c r="B256" i="32"/>
  <c r="B255" i="32"/>
  <c r="B254" i="32"/>
  <c r="B253" i="32"/>
  <c r="B252" i="32"/>
  <c r="B251" i="32"/>
  <c r="B250" i="32"/>
  <c r="B249" i="32"/>
  <c r="F248" i="47"/>
  <c r="B248" i="32"/>
  <c r="B247" i="32"/>
  <c r="B246" i="32"/>
  <c r="B245" i="32"/>
  <c r="B244" i="32"/>
  <c r="B243" i="32"/>
  <c r="B242" i="32"/>
  <c r="B241" i="32"/>
  <c r="B240" i="32"/>
  <c r="B239" i="32"/>
  <c r="B238" i="32"/>
  <c r="B237" i="32"/>
  <c r="B236" i="32"/>
  <c r="B235" i="32"/>
  <c r="B234" i="32"/>
  <c r="B233" i="32"/>
  <c r="B232" i="32"/>
  <c r="B231" i="32"/>
  <c r="B230" i="32"/>
  <c r="B229" i="32"/>
  <c r="B228" i="32"/>
  <c r="B227" i="32"/>
  <c r="B226" i="32"/>
  <c r="B225" i="32"/>
  <c r="B224" i="32"/>
  <c r="B223" i="32"/>
  <c r="B222" i="32"/>
  <c r="B221" i="32"/>
  <c r="B220" i="32"/>
  <c r="B219" i="32"/>
  <c r="B218" i="32"/>
  <c r="B217" i="32"/>
  <c r="B216" i="32"/>
  <c r="B215" i="32"/>
  <c r="B214" i="32"/>
  <c r="B213" i="32"/>
  <c r="B212" i="32"/>
  <c r="B211" i="32"/>
  <c r="B210" i="32"/>
  <c r="B209" i="32"/>
  <c r="B208" i="32"/>
  <c r="B207" i="32"/>
  <c r="B206" i="32"/>
  <c r="B205" i="32"/>
  <c r="B204" i="32"/>
  <c r="B203" i="32"/>
  <c r="B202" i="32"/>
  <c r="B201" i="32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F28" i="47"/>
  <c r="B28" i="32"/>
  <c r="B27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B2" i="32"/>
  <c r="F231" i="47" l="1"/>
  <c r="F231" i="35"/>
  <c r="F231" i="42"/>
  <c r="O231" i="42" s="1"/>
  <c r="F13" i="47"/>
  <c r="F13" i="42"/>
  <c r="O13" i="42" s="1"/>
  <c r="F13" i="35"/>
  <c r="F16" i="47"/>
  <c r="F16" i="42"/>
  <c r="O16" i="42" s="1"/>
  <c r="F16" i="35"/>
  <c r="F11" i="47"/>
  <c r="F11" i="42"/>
  <c r="O11" i="42" s="1"/>
  <c r="F11" i="35"/>
  <c r="F14" i="47"/>
  <c r="F14" i="42"/>
  <c r="O14" i="42" s="1"/>
  <c r="F14" i="35"/>
  <c r="F12" i="47"/>
  <c r="F12" i="42"/>
  <c r="O12" i="42" s="1"/>
  <c r="F12" i="35"/>
  <c r="F15" i="47"/>
  <c r="F15" i="35"/>
  <c r="F15" i="42"/>
  <c r="O15" i="42" s="1"/>
  <c r="F336" i="42"/>
  <c r="F336" i="47"/>
  <c r="F261" i="47"/>
  <c r="F261" i="42"/>
  <c r="O261" i="42" s="1"/>
  <c r="F261" i="35"/>
  <c r="F167" i="47"/>
  <c r="F167" i="42"/>
  <c r="O167" i="42" s="1"/>
  <c r="F167" i="35"/>
  <c r="F145" i="47"/>
  <c r="F145" i="35"/>
  <c r="F145" i="42"/>
  <c r="O145" i="42" s="1"/>
  <c r="F131" i="35"/>
  <c r="F131" i="47"/>
  <c r="F131" i="42"/>
  <c r="O131" i="42" s="1"/>
  <c r="F100" i="35"/>
  <c r="F100" i="47"/>
  <c r="F100" i="42"/>
  <c r="O100" i="42" s="1"/>
  <c r="F88" i="47"/>
  <c r="F88" i="35"/>
  <c r="F88" i="42"/>
  <c r="O88" i="42" s="1"/>
  <c r="C27" i="32"/>
  <c r="F48" i="47"/>
  <c r="F48" i="35"/>
  <c r="F48" i="42"/>
  <c r="O48" i="42" s="1"/>
  <c r="F239" i="47"/>
  <c r="F239" i="42"/>
  <c r="O239" i="42" s="1"/>
  <c r="F28" i="35"/>
  <c r="F28" i="42"/>
  <c r="O28" i="42" s="1"/>
  <c r="F7" i="35"/>
  <c r="F7" i="42"/>
  <c r="O7" i="42" s="1"/>
  <c r="F248" i="42"/>
  <c r="O248" i="42" s="1"/>
  <c r="F248" i="35"/>
  <c r="F336" i="35"/>
  <c r="F238" i="47"/>
  <c r="F239" i="35"/>
  <c r="B299" i="31"/>
  <c r="E131" i="47"/>
  <c r="F36" i="47" l="1"/>
  <c r="F36" i="42"/>
  <c r="O36" i="42" s="1"/>
  <c r="F36" i="35"/>
  <c r="F30" i="47"/>
  <c r="F30" i="35"/>
  <c r="F30" i="42"/>
  <c r="O30" i="42" s="1"/>
  <c r="D214" i="32"/>
  <c r="D143" i="32"/>
  <c r="D141" i="32"/>
  <c r="D124" i="32"/>
  <c r="D98" i="32"/>
  <c r="D71" i="32"/>
  <c r="D93" i="32"/>
  <c r="D89" i="32"/>
  <c r="D56" i="32"/>
  <c r="D235" i="32"/>
  <c r="D229" i="32"/>
  <c r="D129" i="32"/>
  <c r="D126" i="32"/>
  <c r="C86" i="32"/>
  <c r="D58" i="32"/>
  <c r="D97" i="32"/>
  <c r="D95" i="32"/>
  <c r="D91" i="32"/>
  <c r="D88" i="32"/>
  <c r="D54" i="32"/>
  <c r="D225" i="32"/>
  <c r="D223" i="32"/>
  <c r="D221" i="32"/>
  <c r="D219" i="32"/>
  <c r="D217" i="32"/>
  <c r="D215" i="32"/>
  <c r="D213" i="32"/>
  <c r="D211" i="32"/>
  <c r="D195" i="32"/>
  <c r="D192" i="32"/>
  <c r="D189" i="32"/>
  <c r="D186" i="32"/>
  <c r="D181" i="32"/>
  <c r="D179" i="32"/>
  <c r="D177" i="32"/>
  <c r="D175" i="32"/>
  <c r="D173" i="32"/>
  <c r="D171" i="32"/>
  <c r="D169" i="32"/>
  <c r="D163" i="32"/>
  <c r="D161" i="32"/>
  <c r="D159" i="32"/>
  <c r="D157" i="32"/>
  <c r="D155" i="32"/>
  <c r="D153" i="32"/>
  <c r="D151" i="32"/>
  <c r="D149" i="32"/>
  <c r="D147" i="32"/>
  <c r="D140" i="32"/>
  <c r="D117" i="32"/>
  <c r="D114" i="32"/>
  <c r="D111" i="32"/>
  <c r="D83" i="32"/>
  <c r="D53" i="32"/>
  <c r="D208" i="32"/>
  <c r="D206" i="32"/>
  <c r="D204" i="32"/>
  <c r="D202" i="32"/>
  <c r="D199" i="32"/>
  <c r="D197" i="32"/>
  <c r="D166" i="32"/>
  <c r="D144" i="32"/>
  <c r="D142" i="32"/>
  <c r="D128" i="32"/>
  <c r="D125" i="32"/>
  <c r="D232" i="32"/>
  <c r="D226" i="32"/>
  <c r="D224" i="32"/>
  <c r="D222" i="32"/>
  <c r="D218" i="32"/>
  <c r="D216" i="32"/>
  <c r="D180" i="32"/>
  <c r="D178" i="32"/>
  <c r="D176" i="32"/>
  <c r="D174" i="32"/>
  <c r="D172" i="32"/>
  <c r="D170" i="32"/>
  <c r="D168" i="32"/>
  <c r="D162" i="32"/>
  <c r="D160" i="32"/>
  <c r="D156" i="32"/>
  <c r="D152" i="32"/>
  <c r="D150" i="32"/>
  <c r="D146" i="32"/>
  <c r="D130" i="32"/>
  <c r="D127" i="32"/>
  <c r="D94" i="32"/>
  <c r="D84" i="32"/>
  <c r="D79" i="32"/>
  <c r="D67" i="32"/>
  <c r="D234" i="32"/>
  <c r="D230" i="32"/>
  <c r="D210" i="32"/>
  <c r="D99" i="32"/>
  <c r="D59" i="32"/>
  <c r="D220" i="32"/>
  <c r="D158" i="32"/>
  <c r="D154" i="32"/>
  <c r="D148" i="32"/>
  <c r="D96" i="32"/>
  <c r="D92" i="32"/>
  <c r="D90" i="32"/>
  <c r="D82" i="32"/>
  <c r="D55" i="32"/>
  <c r="D75" i="32"/>
  <c r="D227" i="32"/>
  <c r="D188" i="32"/>
  <c r="D138" i="32"/>
  <c r="D145" i="32"/>
  <c r="D60" i="32"/>
  <c r="D185" i="32"/>
  <c r="D191" i="32"/>
  <c r="D212" i="32"/>
  <c r="D134" i="32"/>
  <c r="D102" i="32"/>
  <c r="D52" i="32"/>
  <c r="D61" i="32"/>
  <c r="D120" i="32"/>
  <c r="D135" i="32"/>
  <c r="D69" i="32"/>
  <c r="D101" i="32"/>
  <c r="D233" i="32"/>
  <c r="D78" i="32"/>
  <c r="D137" i="32"/>
  <c r="D105" i="32"/>
  <c r="D194" i="32"/>
  <c r="D73" i="32"/>
  <c r="D164" i="32"/>
  <c r="D104" i="32"/>
  <c r="D80" i="32"/>
  <c r="D183" i="32"/>
  <c r="D108" i="32"/>
  <c r="D198" i="32"/>
  <c r="D76" i="32"/>
  <c r="D184" i="32"/>
  <c r="D81" i="32"/>
  <c r="D196" i="32"/>
  <c r="D74" i="32"/>
  <c r="D133" i="32"/>
  <c r="D201" i="32"/>
  <c r="D107" i="32"/>
  <c r="D112" i="32"/>
  <c r="D187" i="32"/>
  <c r="D63" i="32"/>
  <c r="D113" i="32"/>
  <c r="D122" i="32"/>
  <c r="D203" i="32"/>
  <c r="D103" i="32"/>
  <c r="D77" i="32"/>
  <c r="D136" i="32"/>
  <c r="D207" i="32"/>
  <c r="D72" i="32"/>
  <c r="D62" i="32"/>
  <c r="D165" i="32"/>
  <c r="D118" i="32"/>
  <c r="D193" i="32"/>
  <c r="D66" i="32"/>
  <c r="D119" i="32"/>
  <c r="D132" i="32"/>
  <c r="D209" i="32"/>
  <c r="D109" i="32"/>
  <c r="D106" i="32"/>
  <c r="D100" i="32"/>
  <c r="D139" i="32"/>
  <c r="D65" i="32"/>
  <c r="D200" i="32"/>
  <c r="D70" i="32"/>
  <c r="D121" i="32"/>
  <c r="D205" i="32"/>
  <c r="D68" i="32"/>
  <c r="D182" i="32"/>
  <c r="D131" i="32"/>
  <c r="D228" i="32"/>
  <c r="D57" i="32"/>
  <c r="D115" i="32"/>
  <c r="D116" i="32"/>
  <c r="D167" i="32"/>
  <c r="D110" i="32"/>
  <c r="D64" i="32"/>
  <c r="D190" i="32"/>
  <c r="D123" i="32"/>
  <c r="D330" i="32"/>
  <c r="D85" i="32"/>
  <c r="D236" i="32"/>
  <c r="D231" i="32"/>
  <c r="C332" i="32"/>
  <c r="F27" i="47"/>
  <c r="F85" i="47"/>
  <c r="F85" i="35"/>
  <c r="F85" i="42"/>
  <c r="O85" i="42" s="1"/>
  <c r="F27" i="42"/>
  <c r="O27" i="42" s="1"/>
  <c r="F27" i="35"/>
  <c r="F236" i="35"/>
  <c r="F236" i="47"/>
  <c r="F236" i="42"/>
  <c r="O236" i="42" s="1"/>
  <c r="F238" i="35"/>
  <c r="F238" i="42"/>
  <c r="O238" i="42" s="1"/>
  <c r="E131" i="35"/>
  <c r="E268" i="35"/>
  <c r="O268" i="35" s="1"/>
  <c r="O268" i="33"/>
  <c r="E108" i="35"/>
  <c r="O108" i="35" s="1"/>
  <c r="O108" i="33"/>
  <c r="B2" i="31"/>
  <c r="D31" i="32" l="1"/>
  <c r="D32" i="32"/>
  <c r="D270" i="32"/>
  <c r="D261" i="32"/>
  <c r="D254" i="32"/>
  <c r="D248" i="32"/>
  <c r="D240" i="32"/>
  <c r="D239" i="32"/>
  <c r="D34" i="32"/>
  <c r="D35" i="32"/>
  <c r="D30" i="32"/>
  <c r="D33" i="32"/>
  <c r="F95" i="47"/>
  <c r="O95" i="47" s="1"/>
  <c r="F95" i="42"/>
  <c r="O95" i="42" s="1"/>
  <c r="P95" i="42" s="1"/>
  <c r="R95" i="42" s="1"/>
  <c r="F95" i="35"/>
  <c r="O95" i="35" s="1"/>
  <c r="D29" i="32"/>
  <c r="F341" i="47"/>
  <c r="F341" i="42"/>
  <c r="F341" i="35"/>
  <c r="F86" i="47"/>
  <c r="F89" i="47"/>
  <c r="O89" i="47" s="1"/>
  <c r="F89" i="35"/>
  <c r="O89" i="35" s="1"/>
  <c r="F89" i="42"/>
  <c r="O89" i="42" s="1"/>
  <c r="P89" i="42" s="1"/>
  <c r="R89" i="42" s="1"/>
  <c r="C334" i="32"/>
  <c r="D319" i="32"/>
  <c r="D314" i="32"/>
  <c r="D311" i="32"/>
  <c r="D308" i="32"/>
  <c r="D305" i="32"/>
  <c r="D303" i="32"/>
  <c r="D301" i="32"/>
  <c r="D299" i="32"/>
  <c r="D297" i="32"/>
  <c r="D295" i="32"/>
  <c r="D329" i="32"/>
  <c r="D327" i="32"/>
  <c r="D292" i="32"/>
  <c r="D290" i="32"/>
  <c r="D287" i="32"/>
  <c r="D284" i="32"/>
  <c r="D281" i="32"/>
  <c r="D278" i="32"/>
  <c r="D313" i="32"/>
  <c r="D310" i="32"/>
  <c r="D307" i="32"/>
  <c r="D276" i="32"/>
  <c r="D274" i="32"/>
  <c r="D304" i="32"/>
  <c r="D302" i="32"/>
  <c r="D300" i="32"/>
  <c r="D298" i="32"/>
  <c r="D296" i="32"/>
  <c r="D289" i="32"/>
  <c r="D286" i="32"/>
  <c r="D283" i="32"/>
  <c r="D280" i="32"/>
  <c r="D321" i="32"/>
  <c r="D279" i="32"/>
  <c r="D275" i="32"/>
  <c r="D328" i="32"/>
  <c r="D312" i="32"/>
  <c r="D309" i="32"/>
  <c r="D306" i="32"/>
  <c r="D293" i="32"/>
  <c r="D291" i="32"/>
  <c r="D288" i="32"/>
  <c r="D285" i="32"/>
  <c r="D282" i="32"/>
  <c r="D323" i="32"/>
  <c r="D318" i="32"/>
  <c r="D326" i="32"/>
  <c r="D294" i="32"/>
  <c r="D320" i="32"/>
  <c r="D325" i="32"/>
  <c r="D277" i="32"/>
  <c r="D322" i="32"/>
  <c r="D316" i="32"/>
  <c r="D324" i="32"/>
  <c r="D273" i="32"/>
  <c r="D317" i="32"/>
  <c r="D315" i="32"/>
  <c r="D333" i="32"/>
  <c r="D86" i="32"/>
  <c r="C237" i="32"/>
  <c r="P7" i="42"/>
  <c r="P145" i="42"/>
  <c r="R145" i="42" s="1"/>
  <c r="P60" i="42"/>
  <c r="R60" i="42" s="1"/>
  <c r="P52" i="42"/>
  <c r="R52" i="42" s="1"/>
  <c r="P70" i="42"/>
  <c r="R70" i="42" s="1"/>
  <c r="P5" i="42"/>
  <c r="P85" i="42"/>
  <c r="R85" i="42" s="1"/>
  <c r="P167" i="42"/>
  <c r="R167" i="42" s="1"/>
  <c r="P88" i="42"/>
  <c r="R88" i="42" s="1"/>
  <c r="P236" i="42"/>
  <c r="R236" i="42" s="1"/>
  <c r="P131" i="42"/>
  <c r="R131" i="42" s="1"/>
  <c r="P107" i="42"/>
  <c r="R107" i="42" s="1"/>
  <c r="P174" i="42"/>
  <c r="R174" i="42" s="1"/>
  <c r="P80" i="42"/>
  <c r="R80" i="42" s="1"/>
  <c r="P136" i="42"/>
  <c r="R136" i="42" s="1"/>
  <c r="P77" i="42"/>
  <c r="R77" i="42" s="1"/>
  <c r="P161" i="42"/>
  <c r="R161" i="42" s="1"/>
  <c r="P206" i="42"/>
  <c r="P57" i="42"/>
  <c r="R57" i="42" s="1"/>
  <c r="P96" i="42"/>
  <c r="R96" i="42" s="1"/>
  <c r="P191" i="42"/>
  <c r="P106" i="42"/>
  <c r="R106" i="42" s="1"/>
  <c r="P173" i="42"/>
  <c r="R173" i="42" s="1"/>
  <c r="P210" i="42"/>
  <c r="P132" i="42"/>
  <c r="R132" i="42" s="1"/>
  <c r="P118" i="42"/>
  <c r="R118" i="42" s="1"/>
  <c r="P201" i="42"/>
  <c r="R201" i="42" s="1"/>
  <c r="P144" i="42"/>
  <c r="R144" i="42" s="1"/>
  <c r="P55" i="42"/>
  <c r="R55" i="42" s="1"/>
  <c r="P115" i="42"/>
  <c r="R115" i="42" s="1"/>
  <c r="P178" i="42"/>
  <c r="R178" i="42" s="1"/>
  <c r="P140" i="42"/>
  <c r="R140" i="42" s="1"/>
  <c r="P165" i="42"/>
  <c r="R165" i="42" s="1"/>
  <c r="P209" i="42"/>
  <c r="P113" i="42"/>
  <c r="R113" i="42" s="1"/>
  <c r="P203" i="42"/>
  <c r="P64" i="42"/>
  <c r="R64" i="42" s="1"/>
  <c r="P110" i="42"/>
  <c r="R110" i="42" s="1"/>
  <c r="P177" i="42"/>
  <c r="R177" i="42" s="1"/>
  <c r="P58" i="42"/>
  <c r="R58" i="42" s="1"/>
  <c r="P135" i="42"/>
  <c r="R135" i="42" s="1"/>
  <c r="P204" i="42"/>
  <c r="P54" i="42"/>
  <c r="R54" i="42" s="1"/>
  <c r="P65" i="42"/>
  <c r="R65" i="42" s="1"/>
  <c r="P148" i="42"/>
  <c r="R148" i="42" s="1"/>
  <c r="P185" i="42"/>
  <c r="P66" i="42"/>
  <c r="R66" i="42" s="1"/>
  <c r="P99" i="42"/>
  <c r="R99" i="42" s="1"/>
  <c r="P168" i="42"/>
  <c r="R168" i="42" s="1"/>
  <c r="P199" i="42"/>
  <c r="R199" i="42" s="1"/>
  <c r="P116" i="42"/>
  <c r="R116" i="42" s="1"/>
  <c r="P172" i="42"/>
  <c r="R172" i="42" s="1"/>
  <c r="P53" i="42"/>
  <c r="R53" i="42" s="1"/>
  <c r="P125" i="42"/>
  <c r="P233" i="42"/>
  <c r="R233" i="42" s="1"/>
  <c r="P127" i="42"/>
  <c r="P71" i="42"/>
  <c r="R71" i="42" s="1"/>
  <c r="P130" i="42"/>
  <c r="R130" i="42" s="1"/>
  <c r="P180" i="42"/>
  <c r="R180" i="42" s="1"/>
  <c r="P234" i="42"/>
  <c r="R234" i="42" s="1"/>
  <c r="P61" i="42"/>
  <c r="R61" i="42" s="1"/>
  <c r="P139" i="42"/>
  <c r="R139" i="42" s="1"/>
  <c r="P126" i="42"/>
  <c r="P164" i="42"/>
  <c r="R164" i="42" s="1"/>
  <c r="P202" i="42"/>
  <c r="P72" i="42"/>
  <c r="R72" i="42" s="1"/>
  <c r="P133" i="42"/>
  <c r="R133" i="42" s="1"/>
  <c r="P154" i="42"/>
  <c r="R154" i="42" s="1"/>
  <c r="P63" i="42"/>
  <c r="R63" i="42" s="1"/>
  <c r="P166" i="42"/>
  <c r="R166" i="42" s="1"/>
  <c r="P102" i="42"/>
  <c r="R102" i="42" s="1"/>
  <c r="P155" i="42"/>
  <c r="R155" i="42" s="1"/>
  <c r="P76" i="42"/>
  <c r="R76" i="42" s="1"/>
  <c r="P160" i="42"/>
  <c r="R160" i="42" s="1"/>
  <c r="P197" i="42"/>
  <c r="R197" i="42" s="1"/>
  <c r="P59" i="42"/>
  <c r="R59" i="42" s="1"/>
  <c r="P112" i="42"/>
  <c r="R112" i="42" s="1"/>
  <c r="P194" i="42"/>
  <c r="R194" i="42" s="1"/>
  <c r="P98" i="42"/>
  <c r="R98" i="42" s="1"/>
  <c r="P84" i="42"/>
  <c r="R84" i="42" s="1"/>
  <c r="P129" i="42"/>
  <c r="R129" i="42" s="1"/>
  <c r="P179" i="42"/>
  <c r="R179" i="42" s="1"/>
  <c r="P67" i="42"/>
  <c r="R67" i="42" s="1"/>
  <c r="P146" i="42"/>
  <c r="R146" i="42" s="1"/>
  <c r="P69" i="42"/>
  <c r="R69" i="42" s="1"/>
  <c r="P82" i="42"/>
  <c r="R82" i="42" s="1"/>
  <c r="P142" i="42"/>
  <c r="R142" i="42" s="1"/>
  <c r="P184" i="42"/>
  <c r="P120" i="42"/>
  <c r="R120" i="42" s="1"/>
  <c r="P68" i="42"/>
  <c r="R68" i="42" s="1"/>
  <c r="P151" i="42"/>
  <c r="R151" i="42" s="1"/>
  <c r="P83" i="42"/>
  <c r="R83" i="42" s="1"/>
  <c r="P208" i="42"/>
  <c r="P181" i="42"/>
  <c r="R181" i="42" s="1"/>
  <c r="P62" i="42"/>
  <c r="R62" i="42" s="1"/>
  <c r="P119" i="42"/>
  <c r="R119" i="42" s="1"/>
  <c r="P183" i="42"/>
  <c r="R183" i="42" s="1"/>
  <c r="P211" i="42"/>
  <c r="P74" i="42"/>
  <c r="R74" i="42" s="1"/>
  <c r="P90" i="42"/>
  <c r="R90" i="42" s="1"/>
  <c r="P196" i="42"/>
  <c r="R196" i="42" s="1"/>
  <c r="P79" i="42"/>
  <c r="R79" i="42" s="1"/>
  <c r="P91" i="42"/>
  <c r="R91" i="42" s="1"/>
  <c r="P171" i="42"/>
  <c r="R171" i="42" s="1"/>
  <c r="P235" i="42"/>
  <c r="R235" i="42" s="1"/>
  <c r="P73" i="42"/>
  <c r="R73" i="42" s="1"/>
  <c r="P124" i="42"/>
  <c r="P232" i="42"/>
  <c r="P56" i="42"/>
  <c r="R56" i="42" s="1"/>
  <c r="P149" i="42"/>
  <c r="R149" i="42" s="1"/>
  <c r="P186" i="42"/>
  <c r="P141" i="42"/>
  <c r="R141" i="42" s="1"/>
  <c r="P93" i="42"/>
  <c r="R93" i="42" s="1"/>
  <c r="P158" i="42"/>
  <c r="R158" i="42" s="1"/>
  <c r="P101" i="42"/>
  <c r="R101" i="42" s="1"/>
  <c r="P170" i="42"/>
  <c r="R170" i="42" s="1"/>
  <c r="P207" i="42"/>
  <c r="P94" i="42"/>
  <c r="R94" i="42" s="1"/>
  <c r="P188" i="42"/>
  <c r="P97" i="42"/>
  <c r="R97" i="42" s="1"/>
  <c r="P128" i="42"/>
  <c r="R128" i="42" s="1"/>
  <c r="P187" i="42"/>
  <c r="P117" i="42"/>
  <c r="R117" i="42" s="1"/>
  <c r="P75" i="42"/>
  <c r="R75" i="42" s="1"/>
  <c r="P134" i="42"/>
  <c r="R134" i="42" s="1"/>
  <c r="P198" i="42"/>
  <c r="R198" i="42" s="1"/>
  <c r="P114" i="42"/>
  <c r="R114" i="42" s="1"/>
  <c r="P190" i="42"/>
  <c r="P78" i="42"/>
  <c r="R78" i="42" s="1"/>
  <c r="P104" i="42"/>
  <c r="R104" i="42" s="1"/>
  <c r="P175" i="42"/>
  <c r="R175" i="42" s="1"/>
  <c r="P147" i="42"/>
  <c r="R147" i="42" s="1"/>
  <c r="P105" i="42"/>
  <c r="R105" i="42" s="1"/>
  <c r="P159" i="42"/>
  <c r="R159" i="42" s="1"/>
  <c r="P138" i="42"/>
  <c r="R138" i="42" s="1"/>
  <c r="P92" i="42"/>
  <c r="R92" i="42" s="1"/>
  <c r="P193" i="42"/>
  <c r="P81" i="42"/>
  <c r="R81" i="42" s="1"/>
  <c r="P176" i="42"/>
  <c r="R176" i="42" s="1"/>
  <c r="P121" i="42"/>
  <c r="R121" i="42" s="1"/>
  <c r="P150" i="42"/>
  <c r="R150" i="42" s="1"/>
  <c r="P152" i="42"/>
  <c r="R152" i="42" s="1"/>
  <c r="P122" i="42"/>
  <c r="R122" i="42" s="1"/>
  <c r="P162" i="42"/>
  <c r="R162" i="42" s="1"/>
  <c r="P195" i="42"/>
  <c r="R195" i="42" s="1"/>
  <c r="P103" i="42"/>
  <c r="R103" i="42" s="1"/>
  <c r="P108" i="42"/>
  <c r="R108" i="42" s="1"/>
  <c r="P143" i="42"/>
  <c r="R143" i="42" s="1"/>
  <c r="P205" i="42"/>
  <c r="P111" i="42"/>
  <c r="R111" i="42" s="1"/>
  <c r="P109" i="42"/>
  <c r="R109" i="42" s="1"/>
  <c r="P157" i="42"/>
  <c r="R157" i="42" s="1"/>
  <c r="P189" i="42"/>
  <c r="P153" i="42"/>
  <c r="R153" i="42" s="1"/>
  <c r="P137" i="42"/>
  <c r="R137" i="42" s="1"/>
  <c r="P192" i="42"/>
  <c r="P123" i="42"/>
  <c r="R123" i="42" s="1"/>
  <c r="P156" i="42"/>
  <c r="R156" i="42" s="1"/>
  <c r="P163" i="42"/>
  <c r="R163" i="42" s="1"/>
  <c r="P169" i="42"/>
  <c r="R169" i="42" s="1"/>
  <c r="P330" i="42"/>
  <c r="R330" i="42" s="1"/>
  <c r="P182" i="42"/>
  <c r="R182" i="42" s="1"/>
  <c r="P100" i="42"/>
  <c r="R100" i="42" s="1"/>
  <c r="F332" i="42"/>
  <c r="O332" i="42" s="1"/>
  <c r="P270" i="42" s="1"/>
  <c r="F332" i="47"/>
  <c r="F333" i="35"/>
  <c r="F333" i="47"/>
  <c r="F333" i="42"/>
  <c r="O333" i="42" s="1"/>
  <c r="F86" i="35"/>
  <c r="F86" i="42"/>
  <c r="O86" i="42" s="1"/>
  <c r="D27" i="32"/>
  <c r="F332" i="35"/>
  <c r="H337" i="31"/>
  <c r="B359" i="31"/>
  <c r="E336" i="47"/>
  <c r="B336" i="31"/>
  <c r="B335" i="31"/>
  <c r="B334" i="31"/>
  <c r="B333" i="31"/>
  <c r="B332" i="31"/>
  <c r="B331" i="31"/>
  <c r="B330" i="31"/>
  <c r="B329" i="31"/>
  <c r="B328" i="31"/>
  <c r="B327" i="31"/>
  <c r="B326" i="31"/>
  <c r="B325" i="31"/>
  <c r="B324" i="31"/>
  <c r="B323" i="31"/>
  <c r="E322" i="47"/>
  <c r="B322" i="31"/>
  <c r="B321" i="31"/>
  <c r="B320" i="31"/>
  <c r="B319" i="31"/>
  <c r="B318" i="31"/>
  <c r="B317" i="31"/>
  <c r="B316" i="31"/>
  <c r="E315" i="47"/>
  <c r="B315" i="31"/>
  <c r="B314" i="31"/>
  <c r="B313" i="31"/>
  <c r="B312" i="31"/>
  <c r="B311" i="31"/>
  <c r="B310" i="31"/>
  <c r="B309" i="31"/>
  <c r="B308" i="31"/>
  <c r="B307" i="31"/>
  <c r="B306" i="31"/>
  <c r="B305" i="31"/>
  <c r="B304" i="31"/>
  <c r="B303" i="31"/>
  <c r="B302" i="31"/>
  <c r="B301" i="31"/>
  <c r="B300" i="31"/>
  <c r="B298" i="31"/>
  <c r="B297" i="31"/>
  <c r="B296" i="31"/>
  <c r="B295" i="31"/>
  <c r="B294" i="31"/>
  <c r="B293" i="31"/>
  <c r="B292" i="31"/>
  <c r="B291" i="31"/>
  <c r="B290" i="31"/>
  <c r="B289" i="31"/>
  <c r="B288" i="31"/>
  <c r="B287" i="31"/>
  <c r="B286" i="31"/>
  <c r="B285" i="31"/>
  <c r="B284" i="31"/>
  <c r="B283" i="31"/>
  <c r="B282" i="31"/>
  <c r="B281" i="31"/>
  <c r="B280" i="31"/>
  <c r="B279" i="31"/>
  <c r="B278" i="31"/>
  <c r="B277" i="31"/>
  <c r="B276" i="31"/>
  <c r="B275" i="31"/>
  <c r="B274" i="31"/>
  <c r="E273" i="47"/>
  <c r="B273" i="31"/>
  <c r="B272" i="31"/>
  <c r="B271" i="31"/>
  <c r="B270" i="31"/>
  <c r="B269" i="31"/>
  <c r="B268" i="31"/>
  <c r="B267" i="31"/>
  <c r="B266" i="31"/>
  <c r="B265" i="31"/>
  <c r="B264" i="31"/>
  <c r="B263" i="31"/>
  <c r="B262" i="31"/>
  <c r="E261" i="47"/>
  <c r="B261" i="31"/>
  <c r="B260" i="31"/>
  <c r="B259" i="31"/>
  <c r="B258" i="31"/>
  <c r="B257" i="31"/>
  <c r="B256" i="31"/>
  <c r="B255" i="31"/>
  <c r="B254" i="31"/>
  <c r="B253" i="31"/>
  <c r="B252" i="31"/>
  <c r="B251" i="31"/>
  <c r="B250" i="31"/>
  <c r="B249" i="31"/>
  <c r="E248" i="47"/>
  <c r="B248" i="31"/>
  <c r="B247" i="31"/>
  <c r="B246" i="31"/>
  <c r="B245" i="31"/>
  <c r="B244" i="31"/>
  <c r="B243" i="31"/>
  <c r="B242" i="31"/>
  <c r="B241" i="31"/>
  <c r="B240" i="31"/>
  <c r="E239" i="47"/>
  <c r="B239" i="31"/>
  <c r="B238" i="31"/>
  <c r="B237" i="31"/>
  <c r="B236" i="31"/>
  <c r="B235" i="31"/>
  <c r="B234" i="31"/>
  <c r="B233" i="31"/>
  <c r="B232" i="31"/>
  <c r="E231" i="47"/>
  <c r="B231" i="31"/>
  <c r="B230" i="31"/>
  <c r="B229" i="31"/>
  <c r="B228" i="31"/>
  <c r="B227" i="31"/>
  <c r="B226" i="31"/>
  <c r="B225" i="31"/>
  <c r="B224" i="31"/>
  <c r="B223" i="31"/>
  <c r="B222" i="31"/>
  <c r="B221" i="31"/>
  <c r="B220" i="31"/>
  <c r="B219" i="31"/>
  <c r="B218" i="31"/>
  <c r="B217" i="31"/>
  <c r="B216" i="31"/>
  <c r="B215" i="31"/>
  <c r="B214" i="31"/>
  <c r="B213" i="31"/>
  <c r="E212" i="47"/>
  <c r="B212" i="31"/>
  <c r="B211" i="31"/>
  <c r="B210" i="31"/>
  <c r="B209" i="31"/>
  <c r="B208" i="31"/>
  <c r="B207" i="31"/>
  <c r="B206" i="31"/>
  <c r="B205" i="31"/>
  <c r="B204" i="31"/>
  <c r="B203" i="31"/>
  <c r="B202" i="31"/>
  <c r="B201" i="31"/>
  <c r="E200" i="47"/>
  <c r="B200" i="31"/>
  <c r="B199" i="31"/>
  <c r="B198" i="31"/>
  <c r="B197" i="31"/>
  <c r="B196" i="31"/>
  <c r="B195" i="31"/>
  <c r="B194" i="31"/>
  <c r="B193" i="31"/>
  <c r="B192" i="31"/>
  <c r="B191" i="31"/>
  <c r="B190" i="31"/>
  <c r="B189" i="31"/>
  <c r="B188" i="31"/>
  <c r="B187" i="31"/>
  <c r="B186" i="31"/>
  <c r="B185" i="31"/>
  <c r="B184" i="31"/>
  <c r="B183" i="31"/>
  <c r="B182" i="31"/>
  <c r="B181" i="31"/>
  <c r="B180" i="31"/>
  <c r="B179" i="31"/>
  <c r="B178" i="31"/>
  <c r="B177" i="31"/>
  <c r="B176" i="31"/>
  <c r="B175" i="31"/>
  <c r="B174" i="31"/>
  <c r="B173" i="31"/>
  <c r="B172" i="31"/>
  <c r="B171" i="31"/>
  <c r="B170" i="31"/>
  <c r="B169" i="31"/>
  <c r="B168" i="31"/>
  <c r="E167" i="47"/>
  <c r="B167" i="31"/>
  <c r="B166" i="31"/>
  <c r="B165" i="31"/>
  <c r="B164" i="31"/>
  <c r="B163" i="31"/>
  <c r="B162" i="31"/>
  <c r="B161" i="31"/>
  <c r="B160" i="31"/>
  <c r="B159" i="31"/>
  <c r="B158" i="31"/>
  <c r="B157" i="31"/>
  <c r="B156" i="31"/>
  <c r="B155" i="31"/>
  <c r="B154" i="31"/>
  <c r="B153" i="31"/>
  <c r="B152" i="31"/>
  <c r="B151" i="31"/>
  <c r="B150" i="31"/>
  <c r="B149" i="31"/>
  <c r="B148" i="31"/>
  <c r="B147" i="31"/>
  <c r="B146" i="31"/>
  <c r="E145" i="47"/>
  <c r="B145" i="31"/>
  <c r="B144" i="31"/>
  <c r="B143" i="31"/>
  <c r="B142" i="31"/>
  <c r="B141" i="31"/>
  <c r="B140" i="31"/>
  <c r="B139" i="31"/>
  <c r="B138" i="31"/>
  <c r="B137" i="31"/>
  <c r="B136" i="31"/>
  <c r="B135" i="31"/>
  <c r="B134" i="31"/>
  <c r="B133" i="31"/>
  <c r="B132" i="31"/>
  <c r="B131" i="31"/>
  <c r="B130" i="31"/>
  <c r="B129" i="31"/>
  <c r="B128" i="31"/>
  <c r="B127" i="31"/>
  <c r="B126" i="31"/>
  <c r="B125" i="31"/>
  <c r="B124" i="31"/>
  <c r="B123" i="31"/>
  <c r="B122" i="31"/>
  <c r="B121" i="31"/>
  <c r="B120" i="31"/>
  <c r="B119" i="31"/>
  <c r="B118" i="31"/>
  <c r="B117" i="31"/>
  <c r="B116" i="31"/>
  <c r="B115" i="31"/>
  <c r="B114" i="31"/>
  <c r="B113" i="31"/>
  <c r="B112" i="31"/>
  <c r="B111" i="31"/>
  <c r="B110" i="31"/>
  <c r="B109" i="31"/>
  <c r="B108" i="31"/>
  <c r="B107" i="31"/>
  <c r="B106" i="31"/>
  <c r="B10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E88" i="47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E70" i="47"/>
  <c r="B70" i="31"/>
  <c r="B69" i="31"/>
  <c r="B68" i="31"/>
  <c r="B67" i="31"/>
  <c r="B66" i="31"/>
  <c r="B65" i="31"/>
  <c r="B64" i="31"/>
  <c r="B63" i="31"/>
  <c r="B62" i="31"/>
  <c r="B61" i="31"/>
  <c r="E60" i="47"/>
  <c r="B60" i="31"/>
  <c r="B59" i="31"/>
  <c r="B58" i="31"/>
  <c r="B57" i="31"/>
  <c r="B56" i="31"/>
  <c r="B55" i="31"/>
  <c r="B54" i="31"/>
  <c r="B53" i="31"/>
  <c r="E52" i="47"/>
  <c r="B52" i="31"/>
  <c r="B51" i="31"/>
  <c r="B50" i="31"/>
  <c r="B49" i="31"/>
  <c r="E48" i="47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3" i="31"/>
  <c r="P269" i="42" l="1"/>
  <c r="P252" i="42"/>
  <c r="R252" i="42" s="1"/>
  <c r="D238" i="32"/>
  <c r="D332" i="32" s="1"/>
  <c r="D28" i="32"/>
  <c r="F246" i="47"/>
  <c r="O246" i="47" s="1"/>
  <c r="F246" i="42"/>
  <c r="O246" i="42" s="1"/>
  <c r="P246" i="42" s="1"/>
  <c r="R246" i="42" s="1"/>
  <c r="F246" i="35"/>
  <c r="O246" i="35" s="1"/>
  <c r="F343" i="35"/>
  <c r="F343" i="42"/>
  <c r="D237" i="32"/>
  <c r="F240" i="47"/>
  <c r="O240" i="47" s="1"/>
  <c r="F240" i="35"/>
  <c r="O240" i="35" s="1"/>
  <c r="F240" i="42"/>
  <c r="O240" i="42" s="1"/>
  <c r="P240" i="42" s="1"/>
  <c r="R240" i="42" s="1"/>
  <c r="D334" i="32"/>
  <c r="F337" i="47"/>
  <c r="F337" i="35"/>
  <c r="F337" i="42"/>
  <c r="F338" i="47"/>
  <c r="F338" i="35"/>
  <c r="F338" i="42"/>
  <c r="E14" i="47"/>
  <c r="E32" i="47"/>
  <c r="E32" i="35"/>
  <c r="E13" i="47"/>
  <c r="E31" i="47"/>
  <c r="E31" i="35"/>
  <c r="E30" i="47"/>
  <c r="E30" i="35"/>
  <c r="E15" i="47"/>
  <c r="E33" i="47"/>
  <c r="E33" i="35"/>
  <c r="E29" i="47"/>
  <c r="E29" i="35"/>
  <c r="E34" i="47"/>
  <c r="E34" i="35"/>
  <c r="F334" i="47"/>
  <c r="P255" i="42"/>
  <c r="R255" i="42" s="1"/>
  <c r="P253" i="42"/>
  <c r="R253" i="42" s="1"/>
  <c r="E12" i="47"/>
  <c r="E5" i="47"/>
  <c r="E10" i="47"/>
  <c r="E11" i="47"/>
  <c r="E9" i="47"/>
  <c r="E3" i="47"/>
  <c r="E6" i="47"/>
  <c r="P268" i="42"/>
  <c r="P251" i="42"/>
  <c r="R251" i="42" s="1"/>
  <c r="E27" i="47"/>
  <c r="P32" i="42"/>
  <c r="R32" i="42" s="1"/>
  <c r="P36" i="42"/>
  <c r="R36" i="42" s="1"/>
  <c r="P33" i="42"/>
  <c r="R33" i="42" s="1"/>
  <c r="P51" i="42"/>
  <c r="R51" i="42" s="1"/>
  <c r="P254" i="42"/>
  <c r="R254" i="42" s="1"/>
  <c r="P248" i="42"/>
  <c r="R248" i="42" s="1"/>
  <c r="P242" i="42"/>
  <c r="R242" i="42" s="1"/>
  <c r="P239" i="42"/>
  <c r="R239" i="42" s="1"/>
  <c r="P34" i="42"/>
  <c r="R34" i="42" s="1"/>
  <c r="P49" i="42"/>
  <c r="P262" i="42"/>
  <c r="R262" i="42" s="1"/>
  <c r="P261" i="42"/>
  <c r="P31" i="42"/>
  <c r="R31" i="42" s="1"/>
  <c r="P29" i="42"/>
  <c r="R29" i="42" s="1"/>
  <c r="P30" i="42"/>
  <c r="R30" i="42" s="1"/>
  <c r="E28" i="47"/>
  <c r="E16" i="47"/>
  <c r="P333" i="42"/>
  <c r="R333" i="42" s="1"/>
  <c r="P86" i="42"/>
  <c r="R86" i="42" s="1"/>
  <c r="P282" i="42"/>
  <c r="P287" i="42"/>
  <c r="P293" i="42"/>
  <c r="R293" i="42" s="1"/>
  <c r="P310" i="42"/>
  <c r="R310" i="42" s="1"/>
  <c r="P304" i="42"/>
  <c r="P283" i="42"/>
  <c r="P299" i="42"/>
  <c r="P276" i="42"/>
  <c r="R276" i="42" s="1"/>
  <c r="P292" i="42"/>
  <c r="R292" i="42" s="1"/>
  <c r="P290" i="42"/>
  <c r="P291" i="42"/>
  <c r="R291" i="42" s="1"/>
  <c r="P277" i="42"/>
  <c r="R277" i="42" s="1"/>
  <c r="P303" i="42"/>
  <c r="P321" i="42"/>
  <c r="P309" i="42"/>
  <c r="P305" i="42"/>
  <c r="P280" i="42"/>
  <c r="P278" i="42"/>
  <c r="R278" i="42" s="1"/>
  <c r="P316" i="42"/>
  <c r="R316" i="42" s="1"/>
  <c r="P298" i="42"/>
  <c r="P313" i="42"/>
  <c r="R313" i="42" s="1"/>
  <c r="P323" i="42"/>
  <c r="P284" i="42"/>
  <c r="P307" i="42"/>
  <c r="P317" i="42"/>
  <c r="P301" i="42"/>
  <c r="P286" i="42"/>
  <c r="P325" i="42"/>
  <c r="R325" i="42" s="1"/>
  <c r="P320" i="42"/>
  <c r="P302" i="42"/>
  <c r="P324" i="42"/>
  <c r="R324" i="42" s="1"/>
  <c r="P314" i="42"/>
  <c r="R314" i="42" s="1"/>
  <c r="P281" i="42"/>
  <c r="P295" i="42"/>
  <c r="R295" i="42" s="1"/>
  <c r="P319" i="42"/>
  <c r="P279" i="42"/>
  <c r="P274" i="42"/>
  <c r="R274" i="42" s="1"/>
  <c r="P297" i="42"/>
  <c r="P285" i="42"/>
  <c r="P318" i="42"/>
  <c r="P300" i="42"/>
  <c r="P311" i="42"/>
  <c r="R311" i="42" s="1"/>
  <c r="P289" i="42"/>
  <c r="P296" i="42"/>
  <c r="P312" i="42"/>
  <c r="R312" i="42" s="1"/>
  <c r="P308" i="42"/>
  <c r="P275" i="42"/>
  <c r="R275" i="42" s="1"/>
  <c r="P306" i="42"/>
  <c r="P288" i="42"/>
  <c r="P322" i="42"/>
  <c r="P294" i="42"/>
  <c r="R294" i="42" s="1"/>
  <c r="P273" i="42"/>
  <c r="R273" i="42" s="1"/>
  <c r="P315" i="42"/>
  <c r="R315" i="42" s="1"/>
  <c r="P27" i="42"/>
  <c r="E182" i="47"/>
  <c r="E7" i="47"/>
  <c r="E4" i="47"/>
  <c r="E8" i="47"/>
  <c r="R265" i="42"/>
  <c r="R243" i="42"/>
  <c r="R37" i="42"/>
  <c r="R264" i="42"/>
  <c r="F237" i="42"/>
  <c r="O237" i="42" s="1"/>
  <c r="F237" i="47"/>
  <c r="F334" i="35"/>
  <c r="F334" i="42"/>
  <c r="O334" i="42" s="1"/>
  <c r="F237" i="35"/>
  <c r="E28" i="35"/>
  <c r="E88" i="35"/>
  <c r="E167" i="35"/>
  <c r="E231" i="35"/>
  <c r="E330" i="47"/>
  <c r="E273" i="35"/>
  <c r="E15" i="35"/>
  <c r="E9" i="35"/>
  <c r="E336" i="35"/>
  <c r="E315" i="35"/>
  <c r="E14" i="35"/>
  <c r="E8" i="35"/>
  <c r="E248" i="35"/>
  <c r="E4" i="35"/>
  <c r="E48" i="35"/>
  <c r="E70" i="35"/>
  <c r="E182" i="35"/>
  <c r="E13" i="35"/>
  <c r="E7" i="35"/>
  <c r="E60" i="35"/>
  <c r="E212" i="35"/>
  <c r="E10" i="35"/>
  <c r="E145" i="35"/>
  <c r="E200" i="35"/>
  <c r="E239" i="35"/>
  <c r="E261" i="35"/>
  <c r="E322" i="35"/>
  <c r="E3" i="35"/>
  <c r="E12" i="35"/>
  <c r="E6" i="35"/>
  <c r="E16" i="35"/>
  <c r="E27" i="35"/>
  <c r="E52" i="35"/>
  <c r="E294" i="35"/>
  <c r="E11" i="35"/>
  <c r="E5" i="35"/>
  <c r="E85" i="47"/>
  <c r="E100" i="47"/>
  <c r="P48" i="42" l="1"/>
  <c r="P238" i="42"/>
  <c r="P332" i="42" s="1"/>
  <c r="R261" i="42"/>
  <c r="R27" i="42"/>
  <c r="E86" i="47"/>
  <c r="P237" i="42"/>
  <c r="R237" i="42" s="1"/>
  <c r="P334" i="42"/>
  <c r="R334" i="42" s="1"/>
  <c r="E238" i="47"/>
  <c r="R49" i="42"/>
  <c r="E238" i="35"/>
  <c r="E85" i="35"/>
  <c r="E330" i="35"/>
  <c r="E100" i="35"/>
  <c r="E236" i="47"/>
  <c r="E86" i="35" l="1"/>
  <c r="R238" i="42"/>
  <c r="E332" i="47"/>
  <c r="D27" i="31"/>
  <c r="D332" i="31" s="1"/>
  <c r="E332" i="35"/>
  <c r="E236" i="35"/>
  <c r="E237" i="47"/>
  <c r="E333" i="47"/>
  <c r="E333" i="35" l="1"/>
  <c r="E237" i="35"/>
  <c r="E334" i="47"/>
  <c r="H347" i="30"/>
  <c r="H348" i="30"/>
  <c r="H349" i="30"/>
  <c r="H350" i="30"/>
  <c r="C3" i="30"/>
  <c r="H337" i="30" s="1"/>
  <c r="I337" i="30" s="1"/>
  <c r="D322" i="47"/>
  <c r="D315" i="47"/>
  <c r="D294" i="47"/>
  <c r="D273" i="47"/>
  <c r="D261" i="47"/>
  <c r="D248" i="47"/>
  <c r="D239" i="47"/>
  <c r="D231" i="47"/>
  <c r="D212" i="47"/>
  <c r="D200" i="47"/>
  <c r="D167" i="47"/>
  <c r="D131" i="47"/>
  <c r="D88" i="47"/>
  <c r="D70" i="47"/>
  <c r="D52" i="47"/>
  <c r="D48" i="47"/>
  <c r="D4" i="33" l="1"/>
  <c r="H338" i="30"/>
  <c r="H353" i="30"/>
  <c r="H352" i="30"/>
  <c r="H341" i="30"/>
  <c r="D7" i="33"/>
  <c r="H357" i="30"/>
  <c r="H354" i="30"/>
  <c r="I354" i="30" s="1"/>
  <c r="I361" i="30" s="1"/>
  <c r="I362" i="30" s="1"/>
  <c r="H351" i="30"/>
  <c r="D6" i="33"/>
  <c r="H340" i="30"/>
  <c r="D5" i="33"/>
  <c r="H339" i="30"/>
  <c r="D7" i="30"/>
  <c r="D5" i="30"/>
  <c r="D37" i="47"/>
  <c r="O37" i="47" s="1"/>
  <c r="D37" i="35"/>
  <c r="O37" i="35" s="1"/>
  <c r="D37" i="33"/>
  <c r="O37" i="33" s="1"/>
  <c r="D34" i="33"/>
  <c r="O34" i="33" s="1"/>
  <c r="D33" i="47"/>
  <c r="O33" i="47" s="1"/>
  <c r="D33" i="35"/>
  <c r="O33" i="35" s="1"/>
  <c r="D33" i="33"/>
  <c r="O33" i="33" s="1"/>
  <c r="D32" i="47"/>
  <c r="O32" i="47" s="1"/>
  <c r="D32" i="33"/>
  <c r="O32" i="33" s="1"/>
  <c r="D32" i="35"/>
  <c r="O32" i="35" s="1"/>
  <c r="D36" i="47"/>
  <c r="O36" i="47" s="1"/>
  <c r="D36" i="35"/>
  <c r="O36" i="35" s="1"/>
  <c r="D36" i="33"/>
  <c r="O36" i="33" s="1"/>
  <c r="D35" i="33"/>
  <c r="O35" i="33" s="1"/>
  <c r="D29" i="47"/>
  <c r="O29" i="47" s="1"/>
  <c r="D29" i="33"/>
  <c r="O29" i="33" s="1"/>
  <c r="D29" i="35"/>
  <c r="O29" i="35" s="1"/>
  <c r="D31" i="47"/>
  <c r="O31" i="47" s="1"/>
  <c r="D31" i="33"/>
  <c r="O31" i="33" s="1"/>
  <c r="D31" i="35"/>
  <c r="O31" i="35" s="1"/>
  <c r="D30" i="47"/>
  <c r="O30" i="47" s="1"/>
  <c r="D30" i="35"/>
  <c r="O30" i="35" s="1"/>
  <c r="D30" i="33"/>
  <c r="O30" i="33" s="1"/>
  <c r="D8" i="47"/>
  <c r="D12" i="47"/>
  <c r="D7" i="47"/>
  <c r="D10" i="47"/>
  <c r="D9" i="47"/>
  <c r="D15" i="47"/>
  <c r="D16" i="47"/>
  <c r="D13" i="47"/>
  <c r="D4" i="47"/>
  <c r="D3" i="47"/>
  <c r="D6" i="47"/>
  <c r="D5" i="47"/>
  <c r="D14" i="47"/>
  <c r="D11" i="47"/>
  <c r="D28" i="47"/>
  <c r="D48" i="33"/>
  <c r="D48" i="35"/>
  <c r="D167" i="35"/>
  <c r="D167" i="33"/>
  <c r="D322" i="35"/>
  <c r="D322" i="33"/>
  <c r="D20" i="33"/>
  <c r="O20" i="33" s="1"/>
  <c r="D11" i="35"/>
  <c r="D5" i="35"/>
  <c r="D14" i="33"/>
  <c r="D212" i="35"/>
  <c r="D212" i="33"/>
  <c r="D231" i="35"/>
  <c r="D231" i="33"/>
  <c r="D239" i="35"/>
  <c r="D239" i="33"/>
  <c r="D261" i="35"/>
  <c r="D261" i="33"/>
  <c r="D16" i="35"/>
  <c r="D10" i="35"/>
  <c r="D19" i="33"/>
  <c r="O19" i="33" s="1"/>
  <c r="D4" i="35"/>
  <c r="D13" i="33"/>
  <c r="D131" i="35"/>
  <c r="D131" i="33"/>
  <c r="D15" i="35"/>
  <c r="D24" i="33"/>
  <c r="O24" i="33" s="1"/>
  <c r="D9" i="35"/>
  <c r="D18" i="33"/>
  <c r="D70" i="35"/>
  <c r="D70" i="33"/>
  <c r="D60" i="35"/>
  <c r="D60" i="33"/>
  <c r="D273" i="35"/>
  <c r="D273" i="33"/>
  <c r="D14" i="35"/>
  <c r="D23" i="33"/>
  <c r="O23" i="33" s="1"/>
  <c r="D17" i="33"/>
  <c r="D52" i="35"/>
  <c r="D52" i="33"/>
  <c r="D13" i="35"/>
  <c r="D22" i="33"/>
  <c r="O22" i="33" s="1"/>
  <c r="D7" i="35"/>
  <c r="D16" i="33"/>
  <c r="E334" i="35"/>
  <c r="D200" i="35"/>
  <c r="D200" i="33"/>
  <c r="D315" i="35"/>
  <c r="D315" i="33"/>
  <c r="D3" i="33"/>
  <c r="D3" i="35"/>
  <c r="D12" i="35"/>
  <c r="D21" i="33"/>
  <c r="O21" i="33" s="1"/>
  <c r="D15" i="33"/>
  <c r="D6" i="35"/>
  <c r="D294" i="35"/>
  <c r="D294" i="33"/>
  <c r="D248" i="35"/>
  <c r="D248" i="33"/>
  <c r="D182" i="33"/>
  <c r="D182" i="35"/>
  <c r="D88" i="35"/>
  <c r="D88" i="33"/>
  <c r="D28" i="35"/>
  <c r="D28" i="33"/>
  <c r="D330" i="47"/>
  <c r="D238" i="47"/>
  <c r="D100" i="47"/>
  <c r="D85" i="47"/>
  <c r="D27" i="47" l="1"/>
  <c r="D85" i="35"/>
  <c r="D85" i="33"/>
  <c r="D330" i="35"/>
  <c r="D238" i="35"/>
  <c r="D238" i="33"/>
  <c r="D100" i="35"/>
  <c r="D100" i="33"/>
  <c r="D27" i="35"/>
  <c r="D27" i="33"/>
  <c r="D337" i="47" l="1"/>
  <c r="D337" i="35"/>
  <c r="D337" i="33"/>
  <c r="D342" i="47"/>
  <c r="D342" i="35"/>
  <c r="D336" i="47"/>
  <c r="D336" i="35"/>
  <c r="D336" i="33"/>
  <c r="D332" i="47"/>
  <c r="D86" i="47"/>
  <c r="D86" i="33"/>
  <c r="D86" i="35"/>
  <c r="D332" i="33"/>
  <c r="D332" i="35"/>
  <c r="D27" i="30"/>
  <c r="D332" i="30" s="1"/>
  <c r="D341" i="35" l="1"/>
  <c r="D341" i="47"/>
  <c r="D346" i="35"/>
  <c r="D345" i="35"/>
  <c r="C110" i="35" l="1"/>
  <c r="O110" i="35" s="1"/>
  <c r="C110" i="33"/>
  <c r="O110" i="33" s="1"/>
  <c r="C231" i="47"/>
  <c r="O231" i="47" s="1"/>
  <c r="C231" i="35" l="1"/>
  <c r="O231" i="35" s="1"/>
  <c r="C231" i="33"/>
  <c r="O231" i="33" s="1"/>
  <c r="C304" i="35" l="1"/>
  <c r="O304" i="35" s="1"/>
  <c r="C304" i="33"/>
  <c r="O304" i="33" s="1"/>
  <c r="B350" i="36" l="1"/>
  <c r="B358" i="48"/>
  <c r="B358" i="45"/>
  <c r="B350" i="46"/>
  <c r="B350" i="39"/>
  <c r="B350" i="40"/>
  <c r="B350" i="44"/>
  <c r="B350" i="35"/>
  <c r="B350" i="38"/>
  <c r="B350" i="32"/>
  <c r="C322" i="47" l="1"/>
  <c r="O322" i="47" s="1"/>
  <c r="C315" i="47"/>
  <c r="O315" i="47" s="1"/>
  <c r="C294" i="47"/>
  <c r="O294" i="47" s="1"/>
  <c r="C131" i="47"/>
  <c r="O131" i="47" s="1"/>
  <c r="S315" i="47" l="1"/>
  <c r="C131" i="35"/>
  <c r="O131" i="35" s="1"/>
  <c r="C131" i="33"/>
  <c r="O131" i="33" s="1"/>
  <c r="C294" i="35"/>
  <c r="O294" i="35" s="1"/>
  <c r="C294" i="33"/>
  <c r="O294" i="33" s="1"/>
  <c r="C315" i="35"/>
  <c r="O315" i="35" s="1"/>
  <c r="C315" i="33"/>
  <c r="O315" i="33" s="1"/>
  <c r="C322" i="35"/>
  <c r="O322" i="35" s="1"/>
  <c r="C322" i="33"/>
  <c r="O322" i="33" s="1"/>
  <c r="L26" i="10"/>
  <c r="L20" i="10"/>
  <c r="L17" i="10"/>
  <c r="L18" i="10" s="1"/>
  <c r="G3" i="14" l="1"/>
  <c r="G16" i="14" s="1"/>
  <c r="G14" i="14" l="1"/>
  <c r="F16" i="14" l="1"/>
  <c r="F14" i="14" l="1"/>
  <c r="E10" i="14"/>
  <c r="E14" i="14" s="1"/>
  <c r="E16" i="14"/>
  <c r="D16" i="14" l="1"/>
  <c r="D14" i="14"/>
  <c r="B14" i="14" l="1"/>
  <c r="B16" i="14"/>
  <c r="C16" i="14"/>
  <c r="C14" i="14"/>
  <c r="C248" i="47" l="1"/>
  <c r="O248" i="47" s="1"/>
  <c r="C248" i="35" l="1"/>
  <c r="O248" i="35" s="1"/>
  <c r="C248" i="33"/>
  <c r="O248" i="33" s="1"/>
  <c r="C70" i="47" l="1"/>
  <c r="O70" i="47" s="1"/>
  <c r="C70" i="35" l="1"/>
  <c r="O70" i="35" s="1"/>
  <c r="C70" i="33"/>
  <c r="O70" i="33" s="1"/>
  <c r="C52" i="47" l="1"/>
  <c r="O52" i="47" s="1"/>
  <c r="C28" i="47"/>
  <c r="O28" i="47" s="1"/>
  <c r="S28" i="47" s="1"/>
  <c r="C336" i="47"/>
  <c r="C273" i="47"/>
  <c r="O273" i="47" s="1"/>
  <c r="C261" i="47"/>
  <c r="O261" i="47" s="1"/>
  <c r="C239" i="47"/>
  <c r="O239" i="47" s="1"/>
  <c r="C212" i="47"/>
  <c r="O212" i="47" s="1"/>
  <c r="C200" i="47"/>
  <c r="O200" i="47" s="1"/>
  <c r="C182" i="47"/>
  <c r="O182" i="47" s="1"/>
  <c r="C167" i="47"/>
  <c r="O167" i="47" s="1"/>
  <c r="C145" i="47"/>
  <c r="C88" i="47"/>
  <c r="O88" i="47" s="1"/>
  <c r="C60" i="47"/>
  <c r="O60" i="47" s="1"/>
  <c r="C48" i="47"/>
  <c r="O48" i="47" s="1"/>
  <c r="C2" i="1"/>
  <c r="D25" i="1" s="1"/>
  <c r="D23" i="1" l="1"/>
  <c r="D24" i="1"/>
  <c r="D20" i="1"/>
  <c r="D21" i="1"/>
  <c r="D15" i="1"/>
  <c r="D18" i="1"/>
  <c r="D19" i="1"/>
  <c r="D12" i="1"/>
  <c r="D16" i="1"/>
  <c r="D17" i="1"/>
  <c r="D13" i="1"/>
  <c r="D14" i="1"/>
  <c r="D11" i="1"/>
  <c r="C331" i="1"/>
  <c r="C2" i="47"/>
  <c r="O2" i="47" s="1"/>
  <c r="P12" i="47" s="1"/>
  <c r="S334" i="47"/>
  <c r="P7" i="47"/>
  <c r="C145" i="35"/>
  <c r="C145" i="33"/>
  <c r="C261" i="35"/>
  <c r="O261" i="35" s="1"/>
  <c r="C261" i="33"/>
  <c r="O261" i="33" s="1"/>
  <c r="C330" i="47"/>
  <c r="O330" i="47" s="1"/>
  <c r="C273" i="35"/>
  <c r="O273" i="35" s="1"/>
  <c r="C273" i="33"/>
  <c r="O273" i="33" s="1"/>
  <c r="C182" i="35"/>
  <c r="O182" i="35" s="1"/>
  <c r="C182" i="33"/>
  <c r="O182" i="33" s="1"/>
  <c r="C336" i="35"/>
  <c r="C336" i="33"/>
  <c r="C167" i="35"/>
  <c r="O167" i="35" s="1"/>
  <c r="C167" i="33"/>
  <c r="O167" i="33" s="1"/>
  <c r="C200" i="35"/>
  <c r="O200" i="35" s="1"/>
  <c r="C200" i="33"/>
  <c r="O200" i="33" s="1"/>
  <c r="D10" i="1"/>
  <c r="C2" i="33"/>
  <c r="O2" i="33" s="1"/>
  <c r="P9" i="33" s="1"/>
  <c r="C2" i="35"/>
  <c r="O2" i="35" s="1"/>
  <c r="P21" i="35" s="1"/>
  <c r="C212" i="35"/>
  <c r="O212" i="35" s="1"/>
  <c r="C212" i="33"/>
  <c r="O212" i="33" s="1"/>
  <c r="C52" i="35"/>
  <c r="O52" i="35" s="1"/>
  <c r="C52" i="33"/>
  <c r="O52" i="33" s="1"/>
  <c r="C48" i="35"/>
  <c r="O48" i="35" s="1"/>
  <c r="C48" i="33"/>
  <c r="O48" i="33" s="1"/>
  <c r="C60" i="35"/>
  <c r="O60" i="35" s="1"/>
  <c r="C60" i="33"/>
  <c r="O60" i="33" s="1"/>
  <c r="C88" i="35"/>
  <c r="O88" i="35" s="1"/>
  <c r="C88" i="33"/>
  <c r="O88" i="33" s="1"/>
  <c r="C239" i="35"/>
  <c r="O239" i="35" s="1"/>
  <c r="C239" i="33"/>
  <c r="O239" i="33" s="1"/>
  <c r="C28" i="33"/>
  <c r="O28" i="33" s="1"/>
  <c r="C28" i="35"/>
  <c r="O28" i="35" s="1"/>
  <c r="C238" i="47"/>
  <c r="O238" i="47" s="1"/>
  <c r="D3" i="1"/>
  <c r="D9" i="1"/>
  <c r="D5" i="1"/>
  <c r="D6" i="1"/>
  <c r="D8" i="1"/>
  <c r="D4" i="1"/>
  <c r="D7" i="1"/>
  <c r="C85" i="47"/>
  <c r="O85" i="47" s="1"/>
  <c r="P12" i="35" l="1"/>
  <c r="P18" i="35"/>
  <c r="P11" i="33"/>
  <c r="P12" i="33"/>
  <c r="P22" i="33"/>
  <c r="P4" i="33"/>
  <c r="P18" i="47"/>
  <c r="P22" i="47"/>
  <c r="P16" i="47"/>
  <c r="P25" i="47"/>
  <c r="P19" i="47"/>
  <c r="P20" i="47"/>
  <c r="P21" i="47"/>
  <c r="P24" i="47"/>
  <c r="P17" i="47"/>
  <c r="P23" i="47"/>
  <c r="P16" i="35"/>
  <c r="P25" i="35"/>
  <c r="P26" i="35"/>
  <c r="P17" i="35"/>
  <c r="P20" i="35"/>
  <c r="P24" i="35"/>
  <c r="P19" i="35"/>
  <c r="P23" i="35"/>
  <c r="P15" i="35"/>
  <c r="P17" i="33"/>
  <c r="P24" i="33"/>
  <c r="P23" i="33"/>
  <c r="P15" i="47"/>
  <c r="P13" i="33"/>
  <c r="P14" i="33"/>
  <c r="P13" i="35"/>
  <c r="P14" i="35"/>
  <c r="P13" i="47"/>
  <c r="P14" i="47"/>
  <c r="P8" i="33"/>
  <c r="P10" i="33"/>
  <c r="P11" i="35"/>
  <c r="P8" i="35"/>
  <c r="P4" i="47"/>
  <c r="P8" i="47"/>
  <c r="P21" i="33"/>
  <c r="P6" i="33"/>
  <c r="C340" i="47"/>
  <c r="C340" i="35"/>
  <c r="C339" i="47"/>
  <c r="C339" i="35"/>
  <c r="C338" i="47"/>
  <c r="C338" i="35"/>
  <c r="C341" i="47"/>
  <c r="C341" i="35"/>
  <c r="C337" i="47"/>
  <c r="C337" i="35"/>
  <c r="C337" i="33"/>
  <c r="P3" i="47"/>
  <c r="P6" i="47"/>
  <c r="P5" i="47"/>
  <c r="P10" i="47"/>
  <c r="P9" i="35"/>
  <c r="P18" i="33"/>
  <c r="P20" i="33"/>
  <c r="P9" i="47"/>
  <c r="P11" i="47"/>
  <c r="C27" i="47"/>
  <c r="P200" i="47" s="1"/>
  <c r="R200" i="47" s="1"/>
  <c r="P4" i="35"/>
  <c r="P3" i="35"/>
  <c r="P5" i="35"/>
  <c r="P6" i="35"/>
  <c r="P7" i="35"/>
  <c r="P10" i="35"/>
  <c r="P16" i="33"/>
  <c r="P15" i="33"/>
  <c r="P3" i="33"/>
  <c r="P19" i="33"/>
  <c r="C330" i="35"/>
  <c r="O330" i="35" s="1"/>
  <c r="C330" i="33"/>
  <c r="C238" i="35"/>
  <c r="O238" i="35" s="1"/>
  <c r="C238" i="33"/>
  <c r="O238" i="33" s="1"/>
  <c r="C85" i="35"/>
  <c r="O85" i="35" s="1"/>
  <c r="C85" i="33"/>
  <c r="O85" i="33" s="1"/>
  <c r="C27" i="35"/>
  <c r="C27" i="33"/>
  <c r="C86" i="47"/>
  <c r="O86" i="47" s="1"/>
  <c r="D2" i="1"/>
  <c r="P2" i="35" l="1"/>
  <c r="C344" i="35"/>
  <c r="C343" i="35"/>
  <c r="C342" i="47"/>
  <c r="C362" i="47" s="1"/>
  <c r="C342" i="35"/>
  <c r="P2" i="47"/>
  <c r="P231" i="47"/>
  <c r="R231" i="47" s="1"/>
  <c r="O27" i="47"/>
  <c r="P70" i="47" s="1"/>
  <c r="C332" i="47"/>
  <c r="C332" i="33"/>
  <c r="C332" i="35"/>
  <c r="O332" i="35" s="1"/>
  <c r="O27" i="35"/>
  <c r="C86" i="35"/>
  <c r="O86" i="35" s="1"/>
  <c r="C86" i="33"/>
  <c r="O86" i="33" s="1"/>
  <c r="P231" i="33"/>
  <c r="P212" i="33"/>
  <c r="R212" i="33" s="1"/>
  <c r="O27" i="33"/>
  <c r="T27" i="33" s="1"/>
  <c r="P86" i="35" l="1"/>
  <c r="P223" i="35"/>
  <c r="P221" i="35"/>
  <c r="P222" i="35"/>
  <c r="P224" i="35"/>
  <c r="P227" i="35"/>
  <c r="P225" i="35"/>
  <c r="P210" i="35"/>
  <c r="P218" i="35"/>
  <c r="P228" i="35"/>
  <c r="P211" i="35"/>
  <c r="P204" i="35"/>
  <c r="P217" i="35"/>
  <c r="P202" i="35"/>
  <c r="P205" i="35"/>
  <c r="P215" i="35"/>
  <c r="P203" i="35"/>
  <c r="P206" i="35"/>
  <c r="P207" i="35"/>
  <c r="P219" i="35"/>
  <c r="P216" i="35"/>
  <c r="P183" i="35"/>
  <c r="P220" i="35"/>
  <c r="P226" i="35"/>
  <c r="P233" i="35"/>
  <c r="P209" i="35"/>
  <c r="P201" i="35"/>
  <c r="P232" i="35"/>
  <c r="P208" i="35"/>
  <c r="P231" i="35"/>
  <c r="P200" i="35"/>
  <c r="R200" i="35" s="1"/>
  <c r="P182" i="35"/>
  <c r="P212" i="35"/>
  <c r="P228" i="47"/>
  <c r="R228" i="47" s="1"/>
  <c r="P53" i="47"/>
  <c r="R53" i="47" s="1"/>
  <c r="P52" i="47"/>
  <c r="P60" i="47"/>
  <c r="R60" i="47" s="1"/>
  <c r="P85" i="47"/>
  <c r="R85" i="47" s="1"/>
  <c r="P70" i="35"/>
  <c r="R70" i="35" s="1"/>
  <c r="P60" i="35"/>
  <c r="R60" i="35" s="1"/>
  <c r="P166" i="33"/>
  <c r="P176" i="33"/>
  <c r="R176" i="33" s="1"/>
  <c r="P183" i="33"/>
  <c r="P170" i="33"/>
  <c r="P175" i="33"/>
  <c r="R175" i="33" s="1"/>
  <c r="P172" i="33"/>
  <c r="P181" i="33"/>
  <c r="R181" i="33" s="1"/>
  <c r="P179" i="33"/>
  <c r="R179" i="33" s="1"/>
  <c r="P171" i="33"/>
  <c r="R171" i="33" s="1"/>
  <c r="P180" i="33"/>
  <c r="P165" i="33"/>
  <c r="R165" i="33" s="1"/>
  <c r="P173" i="33"/>
  <c r="P169" i="33"/>
  <c r="R169" i="33" s="1"/>
  <c r="P168" i="33"/>
  <c r="R168" i="33" s="1"/>
  <c r="P177" i="33"/>
  <c r="R177" i="33" s="1"/>
  <c r="P178" i="33"/>
  <c r="R178" i="33" s="1"/>
  <c r="P174" i="33"/>
  <c r="R174" i="33" s="1"/>
  <c r="P182" i="33"/>
  <c r="R182" i="33" s="1"/>
  <c r="P167" i="33"/>
  <c r="R167" i="33" s="1"/>
  <c r="P85" i="33"/>
  <c r="R85" i="33" s="1"/>
  <c r="P219" i="33"/>
  <c r="R219" i="33" s="1"/>
  <c r="P217" i="33"/>
  <c r="R217" i="33" s="1"/>
  <c r="P222" i="33"/>
  <c r="R222" i="33" s="1"/>
  <c r="P215" i="33"/>
  <c r="R215" i="33" s="1"/>
  <c r="P220" i="33"/>
  <c r="R220" i="33" s="1"/>
  <c r="P224" i="33"/>
  <c r="R224" i="33" s="1"/>
  <c r="P218" i="33"/>
  <c r="R218" i="33" s="1"/>
  <c r="P227" i="33"/>
  <c r="R227" i="33" s="1"/>
  <c r="P226" i="33"/>
  <c r="R226" i="33" s="1"/>
  <c r="P216" i="33"/>
  <c r="R216" i="33" s="1"/>
  <c r="P221" i="33"/>
  <c r="R221" i="33" s="1"/>
  <c r="P223" i="33"/>
  <c r="R223" i="33" s="1"/>
  <c r="P228" i="33"/>
  <c r="R228" i="33" s="1"/>
  <c r="P225" i="33"/>
  <c r="R225" i="33" s="1"/>
  <c r="P70" i="33"/>
  <c r="R70" i="33" s="1"/>
  <c r="P52" i="33"/>
  <c r="R52" i="33" s="1"/>
  <c r="P200" i="33"/>
  <c r="R200" i="33" s="1"/>
  <c r="P60" i="33"/>
  <c r="R60" i="33" s="1"/>
  <c r="P140" i="47"/>
  <c r="R140" i="47" s="1"/>
  <c r="P120" i="47"/>
  <c r="R120" i="47" s="1"/>
  <c r="P63" i="47"/>
  <c r="R63" i="47" s="1"/>
  <c r="P91" i="47"/>
  <c r="R91" i="47" s="1"/>
  <c r="P83" i="47"/>
  <c r="R83" i="47" s="1"/>
  <c r="P210" i="47"/>
  <c r="R210" i="47" s="1"/>
  <c r="P169" i="47"/>
  <c r="R169" i="47" s="1"/>
  <c r="P125" i="47"/>
  <c r="P171" i="47"/>
  <c r="R171" i="47" s="1"/>
  <c r="P152" i="47"/>
  <c r="R152" i="47" s="1"/>
  <c r="P148" i="47"/>
  <c r="R148" i="47" s="1"/>
  <c r="P173" i="47"/>
  <c r="R173" i="47" s="1"/>
  <c r="P164" i="47"/>
  <c r="R164" i="47" s="1"/>
  <c r="P199" i="47"/>
  <c r="R199" i="47" s="1"/>
  <c r="P62" i="47"/>
  <c r="R62" i="47" s="1"/>
  <c r="P179" i="47"/>
  <c r="R179" i="47" s="1"/>
  <c r="P180" i="47"/>
  <c r="R180" i="47" s="1"/>
  <c r="P116" i="47"/>
  <c r="R116" i="47" s="1"/>
  <c r="P234" i="47"/>
  <c r="R234" i="47" s="1"/>
  <c r="P137" i="47"/>
  <c r="R137" i="47" s="1"/>
  <c r="P133" i="47"/>
  <c r="R133" i="47" s="1"/>
  <c r="P157" i="47"/>
  <c r="R157" i="47" s="1"/>
  <c r="P111" i="47"/>
  <c r="R111" i="47" s="1"/>
  <c r="P161" i="47"/>
  <c r="R161" i="47" s="1"/>
  <c r="P102" i="47"/>
  <c r="R102" i="47" s="1"/>
  <c r="P205" i="47"/>
  <c r="R205" i="47" s="1"/>
  <c r="P58" i="47"/>
  <c r="R58" i="47" s="1"/>
  <c r="P175" i="47"/>
  <c r="R175" i="47" s="1"/>
  <c r="P188" i="47"/>
  <c r="R188" i="47" s="1"/>
  <c r="P160" i="47"/>
  <c r="R160" i="47" s="1"/>
  <c r="P72" i="47"/>
  <c r="R72" i="47" s="1"/>
  <c r="P174" i="47"/>
  <c r="R174" i="47" s="1"/>
  <c r="P170" i="47"/>
  <c r="R170" i="47" s="1"/>
  <c r="P158" i="47"/>
  <c r="R158" i="47" s="1"/>
  <c r="P107" i="47"/>
  <c r="R107" i="47" s="1"/>
  <c r="P190" i="47"/>
  <c r="R190" i="47" s="1"/>
  <c r="P68" i="47"/>
  <c r="R68" i="47" s="1"/>
  <c r="P92" i="47"/>
  <c r="R92" i="47" s="1"/>
  <c r="P142" i="47"/>
  <c r="R142" i="47" s="1"/>
  <c r="P141" i="47"/>
  <c r="R141" i="47" s="1"/>
  <c r="P112" i="47"/>
  <c r="R112" i="47" s="1"/>
  <c r="P159" i="47"/>
  <c r="R159" i="47" s="1"/>
  <c r="P90" i="47"/>
  <c r="R90" i="47" s="1"/>
  <c r="P138" i="47"/>
  <c r="R138" i="47" s="1"/>
  <c r="P154" i="47"/>
  <c r="R154" i="47" s="1"/>
  <c r="P96" i="47"/>
  <c r="R96" i="47" s="1"/>
  <c r="P204" i="47"/>
  <c r="R204" i="47" s="1"/>
  <c r="P168" i="47"/>
  <c r="R168" i="47" s="1"/>
  <c r="P88" i="47"/>
  <c r="R88" i="47" s="1"/>
  <c r="P119" i="47"/>
  <c r="R119" i="47" s="1"/>
  <c r="P61" i="47"/>
  <c r="R61" i="47" s="1"/>
  <c r="P108" i="47"/>
  <c r="R108" i="47" s="1"/>
  <c r="P97" i="47"/>
  <c r="R97" i="47" s="1"/>
  <c r="P194" i="47"/>
  <c r="R194" i="47" s="1"/>
  <c r="P197" i="47"/>
  <c r="R197" i="47" s="1"/>
  <c r="P76" i="47"/>
  <c r="R76" i="47" s="1"/>
  <c r="P233" i="47"/>
  <c r="R233" i="47" s="1"/>
  <c r="P132" i="47"/>
  <c r="R132" i="47" s="1"/>
  <c r="P123" i="47"/>
  <c r="R123" i="47" s="1"/>
  <c r="P149" i="47"/>
  <c r="R149" i="47" s="1"/>
  <c r="P79" i="47"/>
  <c r="R79" i="47" s="1"/>
  <c r="P203" i="47"/>
  <c r="R203" i="47" s="1"/>
  <c r="P71" i="47"/>
  <c r="R71" i="47" s="1"/>
  <c r="P191" i="47"/>
  <c r="R191" i="47" s="1"/>
  <c r="P74" i="47"/>
  <c r="R74" i="47" s="1"/>
  <c r="P130" i="47"/>
  <c r="R130" i="47" s="1"/>
  <c r="P143" i="47"/>
  <c r="R143" i="47" s="1"/>
  <c r="P163" i="47"/>
  <c r="R163" i="47" s="1"/>
  <c r="P225" i="47"/>
  <c r="R225" i="47" s="1"/>
  <c r="P202" i="47"/>
  <c r="R202" i="47" s="1"/>
  <c r="P139" i="47"/>
  <c r="R139" i="47" s="1"/>
  <c r="P218" i="47"/>
  <c r="R218" i="47" s="1"/>
  <c r="P209" i="47"/>
  <c r="R209" i="47" s="1"/>
  <c r="P126" i="47"/>
  <c r="P219" i="47"/>
  <c r="R219" i="47" s="1"/>
  <c r="P166" i="47"/>
  <c r="R166" i="47" s="1"/>
  <c r="P330" i="47"/>
  <c r="R330" i="47" s="1"/>
  <c r="P201" i="47"/>
  <c r="R201" i="47" s="1"/>
  <c r="P222" i="47"/>
  <c r="R222" i="47" s="1"/>
  <c r="P206" i="47"/>
  <c r="R206" i="47" s="1"/>
  <c r="P224" i="47"/>
  <c r="R224" i="47" s="1"/>
  <c r="P208" i="47"/>
  <c r="R208" i="47" s="1"/>
  <c r="P134" i="47"/>
  <c r="R134" i="47" s="1"/>
  <c r="P84" i="47"/>
  <c r="R84" i="47" s="1"/>
  <c r="P226" i="47"/>
  <c r="R226" i="47" s="1"/>
  <c r="P86" i="47"/>
  <c r="R86" i="47" s="1"/>
  <c r="P81" i="47"/>
  <c r="R81" i="47" s="1"/>
  <c r="P167" i="47"/>
  <c r="R167" i="47" s="1"/>
  <c r="P232" i="47"/>
  <c r="R232" i="47" s="1"/>
  <c r="P66" i="47"/>
  <c r="R66" i="47" s="1"/>
  <c r="P115" i="47"/>
  <c r="R115" i="47" s="1"/>
  <c r="P124" i="47"/>
  <c r="P75" i="47"/>
  <c r="R75" i="47" s="1"/>
  <c r="P235" i="47"/>
  <c r="R235" i="47" s="1"/>
  <c r="P57" i="47"/>
  <c r="R57" i="47" s="1"/>
  <c r="P151" i="47"/>
  <c r="R151" i="47" s="1"/>
  <c r="P147" i="47"/>
  <c r="R147" i="47" s="1"/>
  <c r="P67" i="47"/>
  <c r="R67" i="47" s="1"/>
  <c r="P176" i="47"/>
  <c r="R176" i="47" s="1"/>
  <c r="P122" i="47"/>
  <c r="R122" i="47" s="1"/>
  <c r="P172" i="47"/>
  <c r="R172" i="47" s="1"/>
  <c r="P95" i="47"/>
  <c r="R95" i="47" s="1"/>
  <c r="P113" i="47"/>
  <c r="R113" i="47" s="1"/>
  <c r="P78" i="47"/>
  <c r="R78" i="47" s="1"/>
  <c r="P106" i="47"/>
  <c r="R106" i="47" s="1"/>
  <c r="P121" i="47"/>
  <c r="R121" i="47" s="1"/>
  <c r="P135" i="47"/>
  <c r="R135" i="47" s="1"/>
  <c r="P177" i="47"/>
  <c r="R177" i="47" s="1"/>
  <c r="P56" i="47"/>
  <c r="R56" i="47" s="1"/>
  <c r="P195" i="47"/>
  <c r="R195" i="47" s="1"/>
  <c r="P185" i="47"/>
  <c r="R185" i="47" s="1"/>
  <c r="P227" i="47"/>
  <c r="R227" i="47" s="1"/>
  <c r="P217" i="47"/>
  <c r="R217" i="47" s="1"/>
  <c r="P212" i="47"/>
  <c r="R212" i="47" s="1"/>
  <c r="P182" i="47"/>
  <c r="R182" i="47" s="1"/>
  <c r="P183" i="47"/>
  <c r="R183" i="47" s="1"/>
  <c r="P114" i="47"/>
  <c r="R114" i="47" s="1"/>
  <c r="P127" i="47"/>
  <c r="P82" i="47"/>
  <c r="R82" i="47" s="1"/>
  <c r="P69" i="47"/>
  <c r="R69" i="47" s="1"/>
  <c r="P153" i="47"/>
  <c r="R153" i="47" s="1"/>
  <c r="P110" i="47"/>
  <c r="R110" i="47" s="1"/>
  <c r="P129" i="47"/>
  <c r="R129" i="47" s="1"/>
  <c r="P55" i="47"/>
  <c r="R55" i="47" s="1"/>
  <c r="P181" i="47"/>
  <c r="R181" i="47" s="1"/>
  <c r="P131" i="47"/>
  <c r="R131" i="47" s="1"/>
  <c r="P192" i="47"/>
  <c r="R192" i="47" s="1"/>
  <c r="P105" i="47"/>
  <c r="R105" i="47" s="1"/>
  <c r="P193" i="47"/>
  <c r="P207" i="47"/>
  <c r="R207" i="47" s="1"/>
  <c r="P103" i="47"/>
  <c r="R103" i="47" s="1"/>
  <c r="P150" i="47"/>
  <c r="R150" i="47" s="1"/>
  <c r="P104" i="47"/>
  <c r="R104" i="47" s="1"/>
  <c r="P211" i="47"/>
  <c r="R211" i="47" s="1"/>
  <c r="P98" i="47"/>
  <c r="R98" i="47" s="1"/>
  <c r="P165" i="47"/>
  <c r="R165" i="47" s="1"/>
  <c r="P73" i="47"/>
  <c r="R73" i="47" s="1"/>
  <c r="P162" i="47"/>
  <c r="R162" i="47" s="1"/>
  <c r="P189" i="47"/>
  <c r="R189" i="47" s="1"/>
  <c r="P128" i="47"/>
  <c r="R128" i="47" s="1"/>
  <c r="P136" i="47"/>
  <c r="R136" i="47" s="1"/>
  <c r="P223" i="47"/>
  <c r="R223" i="47" s="1"/>
  <c r="P220" i="47"/>
  <c r="R220" i="47" s="1"/>
  <c r="P94" i="47"/>
  <c r="R94" i="47" s="1"/>
  <c r="P186" i="47"/>
  <c r="R186" i="47" s="1"/>
  <c r="P77" i="47"/>
  <c r="R77" i="47" s="1"/>
  <c r="P155" i="47"/>
  <c r="R155" i="47" s="1"/>
  <c r="P99" i="47"/>
  <c r="R99" i="47" s="1"/>
  <c r="P118" i="47"/>
  <c r="R118" i="47" s="1"/>
  <c r="P198" i="47"/>
  <c r="R198" i="47" s="1"/>
  <c r="P117" i="47"/>
  <c r="R117" i="47" s="1"/>
  <c r="P184" i="47"/>
  <c r="R184" i="47" s="1"/>
  <c r="P80" i="47"/>
  <c r="R80" i="47" s="1"/>
  <c r="P187" i="47"/>
  <c r="R187" i="47" s="1"/>
  <c r="P54" i="47"/>
  <c r="R54" i="47" s="1"/>
  <c r="P196" i="47"/>
  <c r="R196" i="47" s="1"/>
  <c r="P65" i="47"/>
  <c r="R65" i="47" s="1"/>
  <c r="P178" i="47"/>
  <c r="R178" i="47" s="1"/>
  <c r="P59" i="47"/>
  <c r="R59" i="47" s="1"/>
  <c r="P89" i="47"/>
  <c r="R89" i="47" s="1"/>
  <c r="P156" i="47"/>
  <c r="R156" i="47" s="1"/>
  <c r="P64" i="47"/>
  <c r="R64" i="47" s="1"/>
  <c r="P93" i="47"/>
  <c r="R93" i="47" s="1"/>
  <c r="P144" i="47"/>
  <c r="R144" i="47" s="1"/>
  <c r="P109" i="47"/>
  <c r="R109" i="47" s="1"/>
  <c r="P215" i="47"/>
  <c r="R215" i="47" s="1"/>
  <c r="P221" i="47"/>
  <c r="R221" i="47" s="1"/>
  <c r="P328" i="47"/>
  <c r="R328" i="47" s="1"/>
  <c r="P329" i="47"/>
  <c r="O332" i="47"/>
  <c r="P76" i="35"/>
  <c r="P133" i="35"/>
  <c r="P93" i="35"/>
  <c r="P65" i="35"/>
  <c r="P75" i="35"/>
  <c r="P126" i="35"/>
  <c r="P190" i="35"/>
  <c r="P194" i="35"/>
  <c r="P184" i="35"/>
  <c r="P330" i="35"/>
  <c r="P57" i="35"/>
  <c r="P125" i="35"/>
  <c r="P111" i="35"/>
  <c r="P107" i="35"/>
  <c r="P166" i="35"/>
  <c r="P161" i="35"/>
  <c r="P82" i="35"/>
  <c r="P91" i="35"/>
  <c r="P108" i="35"/>
  <c r="P71" i="35"/>
  <c r="P189" i="35"/>
  <c r="P153" i="35"/>
  <c r="P187" i="35"/>
  <c r="P148" i="35"/>
  <c r="P198" i="35"/>
  <c r="P199" i="35"/>
  <c r="P234" i="35"/>
  <c r="P104" i="35"/>
  <c r="P132" i="35"/>
  <c r="P165" i="35"/>
  <c r="P157" i="35"/>
  <c r="P151" i="35"/>
  <c r="P129" i="35"/>
  <c r="P92" i="35"/>
  <c r="P66" i="35"/>
  <c r="P98" i="35"/>
  <c r="P175" i="35"/>
  <c r="P196" i="35"/>
  <c r="P178" i="35"/>
  <c r="P149" i="35"/>
  <c r="P169" i="35"/>
  <c r="P186" i="35"/>
  <c r="P235" i="35"/>
  <c r="P167" i="35"/>
  <c r="P147" i="35"/>
  <c r="P139" i="35"/>
  <c r="P68" i="35"/>
  <c r="P122" i="35"/>
  <c r="P154" i="35"/>
  <c r="P118" i="35"/>
  <c r="P61" i="35"/>
  <c r="P163" i="35"/>
  <c r="P177" i="35"/>
  <c r="P152" i="35"/>
  <c r="P105" i="35"/>
  <c r="P90" i="35"/>
  <c r="P74" i="35"/>
  <c r="P69" i="35"/>
  <c r="P84" i="35"/>
  <c r="P112" i="35"/>
  <c r="P185" i="35"/>
  <c r="P158" i="35"/>
  <c r="P99" i="35"/>
  <c r="P67" i="35"/>
  <c r="P115" i="35"/>
  <c r="P58" i="35"/>
  <c r="P143" i="35"/>
  <c r="P188" i="35"/>
  <c r="P197" i="35"/>
  <c r="P191" i="35"/>
  <c r="P124" i="35"/>
  <c r="P134" i="35"/>
  <c r="P103" i="35"/>
  <c r="P120" i="35"/>
  <c r="P97" i="35"/>
  <c r="P56" i="35"/>
  <c r="P164" i="35"/>
  <c r="P160" i="35"/>
  <c r="P155" i="35"/>
  <c r="P173" i="35"/>
  <c r="P73" i="35"/>
  <c r="P53" i="35"/>
  <c r="P63" i="35"/>
  <c r="P137" i="35"/>
  <c r="P80" i="35"/>
  <c r="P171" i="35"/>
  <c r="P170" i="35"/>
  <c r="P72" i="35"/>
  <c r="P141" i="35"/>
  <c r="P131" i="35"/>
  <c r="P94" i="35"/>
  <c r="P193" i="35"/>
  <c r="P180" i="35"/>
  <c r="P150" i="35"/>
  <c r="P159" i="35"/>
  <c r="P106" i="35"/>
  <c r="P96" i="35"/>
  <c r="P88" i="35"/>
  <c r="P77" i="35"/>
  <c r="P85" i="35"/>
  <c r="P128" i="35"/>
  <c r="P144" i="35"/>
  <c r="P136" i="35"/>
  <c r="P54" i="35"/>
  <c r="P121" i="35"/>
  <c r="P140" i="35"/>
  <c r="P117" i="35"/>
  <c r="P59" i="35"/>
  <c r="P162" i="35"/>
  <c r="P142" i="35"/>
  <c r="P127" i="35"/>
  <c r="P119" i="35"/>
  <c r="P110" i="35"/>
  <c r="P83" i="35"/>
  <c r="P109" i="35"/>
  <c r="P181" i="35"/>
  <c r="P179" i="35"/>
  <c r="P156" i="35"/>
  <c r="P174" i="35"/>
  <c r="P78" i="35"/>
  <c r="P62" i="35"/>
  <c r="P64" i="35"/>
  <c r="P138" i="35"/>
  <c r="P81" i="35"/>
  <c r="P89" i="35"/>
  <c r="P195" i="35"/>
  <c r="P192" i="35"/>
  <c r="P176" i="35"/>
  <c r="P123" i="35"/>
  <c r="P130" i="35"/>
  <c r="P55" i="35"/>
  <c r="P168" i="35"/>
  <c r="P135" i="35"/>
  <c r="P102" i="35"/>
  <c r="P116" i="35"/>
  <c r="P79" i="35"/>
  <c r="P113" i="35"/>
  <c r="P114" i="35"/>
  <c r="P52" i="35"/>
  <c r="P95" i="35"/>
  <c r="P172" i="35"/>
  <c r="P86" i="33"/>
  <c r="R86" i="33" s="1"/>
  <c r="P327" i="35"/>
  <c r="P244" i="35"/>
  <c r="P326" i="35"/>
  <c r="P328" i="35"/>
  <c r="P329" i="35"/>
  <c r="P123" i="33"/>
  <c r="P130" i="33"/>
  <c r="R130" i="33" s="1"/>
  <c r="P121" i="33"/>
  <c r="R121" i="33" s="1"/>
  <c r="P129" i="33"/>
  <c r="R129" i="33" s="1"/>
  <c r="P135" i="33"/>
  <c r="R135" i="33" s="1"/>
  <c r="P159" i="33"/>
  <c r="R159" i="33" s="1"/>
  <c r="P143" i="33"/>
  <c r="R143" i="33" s="1"/>
  <c r="P163" i="33"/>
  <c r="R163" i="33" s="1"/>
  <c r="P210" i="33"/>
  <c r="R210" i="33" s="1"/>
  <c r="P189" i="33"/>
  <c r="R189" i="33" s="1"/>
  <c r="P155" i="33"/>
  <c r="R155" i="33" s="1"/>
  <c r="P126" i="33"/>
  <c r="P206" i="33"/>
  <c r="R206" i="33" s="1"/>
  <c r="P184" i="33"/>
  <c r="R184" i="33" s="1"/>
  <c r="P150" i="33"/>
  <c r="P134" i="33"/>
  <c r="R134" i="33" s="1"/>
  <c r="P97" i="33"/>
  <c r="P201" i="33"/>
  <c r="R201" i="33" s="1"/>
  <c r="P157" i="33"/>
  <c r="R157" i="33" s="1"/>
  <c r="P133" i="33"/>
  <c r="R133" i="33" s="1"/>
  <c r="P105" i="33"/>
  <c r="R105" i="33" s="1"/>
  <c r="P208" i="33"/>
  <c r="R208" i="33" s="1"/>
  <c r="P197" i="33"/>
  <c r="P83" i="33"/>
  <c r="P65" i="33"/>
  <c r="R65" i="33" s="1"/>
  <c r="P234" i="33"/>
  <c r="P187" i="33"/>
  <c r="R187" i="33" s="1"/>
  <c r="P147" i="33"/>
  <c r="R147" i="33" s="1"/>
  <c r="P128" i="33"/>
  <c r="P235" i="33"/>
  <c r="R235" i="33" s="1"/>
  <c r="P188" i="33"/>
  <c r="R188" i="33" s="1"/>
  <c r="P158" i="33"/>
  <c r="R158" i="33" s="1"/>
  <c r="P142" i="33"/>
  <c r="R142" i="33" s="1"/>
  <c r="P109" i="33"/>
  <c r="R109" i="33" s="1"/>
  <c r="P113" i="33"/>
  <c r="P191" i="33"/>
  <c r="R191" i="33" s="1"/>
  <c r="P127" i="33"/>
  <c r="P80" i="33"/>
  <c r="R80" i="33" s="1"/>
  <c r="P199" i="33"/>
  <c r="P190" i="33"/>
  <c r="R190" i="33" s="1"/>
  <c r="P162" i="33"/>
  <c r="R162" i="33" s="1"/>
  <c r="P118" i="33"/>
  <c r="R118" i="33" s="1"/>
  <c r="P69" i="33"/>
  <c r="R69" i="33" s="1"/>
  <c r="P164" i="33"/>
  <c r="R164" i="33" s="1"/>
  <c r="P204" i="33"/>
  <c r="R204" i="33" s="1"/>
  <c r="P132" i="33"/>
  <c r="R132" i="33" s="1"/>
  <c r="P186" i="33"/>
  <c r="R186" i="33" s="1"/>
  <c r="P156" i="33"/>
  <c r="R156" i="33" s="1"/>
  <c r="P55" i="33"/>
  <c r="R55" i="33" s="1"/>
  <c r="P203" i="33"/>
  <c r="R203" i="33" s="1"/>
  <c r="P151" i="33"/>
  <c r="P131" i="33"/>
  <c r="R131" i="33" s="1"/>
  <c r="P63" i="33"/>
  <c r="R63" i="33" s="1"/>
  <c r="P202" i="33"/>
  <c r="R202" i="33" s="1"/>
  <c r="P144" i="33"/>
  <c r="R144" i="33" s="1"/>
  <c r="P116" i="33"/>
  <c r="R116" i="33" s="1"/>
  <c r="P122" i="33"/>
  <c r="R122" i="33" s="1"/>
  <c r="P211" i="33"/>
  <c r="R211" i="33" s="1"/>
  <c r="P196" i="33"/>
  <c r="R196" i="33" s="1"/>
  <c r="P148" i="33"/>
  <c r="R148" i="33" s="1"/>
  <c r="P78" i="33"/>
  <c r="R78" i="33" s="1"/>
  <c r="P82" i="33"/>
  <c r="P106" i="33"/>
  <c r="R106" i="33" s="1"/>
  <c r="P89" i="33"/>
  <c r="R89" i="33" s="1"/>
  <c r="P207" i="33"/>
  <c r="R207" i="33" s="1"/>
  <c r="P161" i="33"/>
  <c r="R161" i="33" s="1"/>
  <c r="P107" i="33"/>
  <c r="R107" i="33" s="1"/>
  <c r="P232" i="33"/>
  <c r="P152" i="33"/>
  <c r="P73" i="33"/>
  <c r="R73" i="33" s="1"/>
  <c r="P125" i="33"/>
  <c r="P92" i="33"/>
  <c r="R92" i="33" s="1"/>
  <c r="P96" i="33"/>
  <c r="P68" i="33"/>
  <c r="P104" i="33"/>
  <c r="R104" i="33" s="1"/>
  <c r="P81" i="33"/>
  <c r="P64" i="33"/>
  <c r="R64" i="33" s="1"/>
  <c r="P54" i="33"/>
  <c r="R54" i="33" s="1"/>
  <c r="P110" i="33"/>
  <c r="R110" i="33" s="1"/>
  <c r="P93" i="33"/>
  <c r="R93" i="33" s="1"/>
  <c r="P66" i="33"/>
  <c r="P117" i="33"/>
  <c r="R117" i="33" s="1"/>
  <c r="P90" i="33"/>
  <c r="R90" i="33" s="1"/>
  <c r="P79" i="33"/>
  <c r="R79" i="33" s="1"/>
  <c r="P153" i="33"/>
  <c r="R153" i="33" s="1"/>
  <c r="P136" i="33"/>
  <c r="R136" i="33" s="1"/>
  <c r="P209" i="33"/>
  <c r="R209" i="33" s="1"/>
  <c r="P198" i="33"/>
  <c r="R198" i="33" s="1"/>
  <c r="P154" i="33"/>
  <c r="R154" i="33" s="1"/>
  <c r="P58" i="33"/>
  <c r="R58" i="33" s="1"/>
  <c r="P112" i="33"/>
  <c r="P119" i="33"/>
  <c r="R119" i="33" s="1"/>
  <c r="P95" i="33"/>
  <c r="R95" i="33" s="1"/>
  <c r="P72" i="33"/>
  <c r="R72" i="33" s="1"/>
  <c r="P115" i="33"/>
  <c r="R115" i="33" s="1"/>
  <c r="P103" i="33"/>
  <c r="R103" i="33" s="1"/>
  <c r="P88" i="33"/>
  <c r="R88" i="33" s="1"/>
  <c r="P76" i="33"/>
  <c r="R76" i="33" s="1"/>
  <c r="P59" i="33"/>
  <c r="R59" i="33" s="1"/>
  <c r="P185" i="33"/>
  <c r="R185" i="33" s="1"/>
  <c r="P233" i="33"/>
  <c r="P124" i="33"/>
  <c r="P194" i="33"/>
  <c r="R194" i="33" s="1"/>
  <c r="P141" i="33"/>
  <c r="R141" i="33" s="1"/>
  <c r="P94" i="33"/>
  <c r="R94" i="33" s="1"/>
  <c r="P193" i="33"/>
  <c r="P138" i="33"/>
  <c r="R138" i="33" s="1"/>
  <c r="P102" i="33"/>
  <c r="R102" i="33" s="1"/>
  <c r="P77" i="33"/>
  <c r="R77" i="33" s="1"/>
  <c r="P111" i="33"/>
  <c r="P67" i="33"/>
  <c r="P56" i="33"/>
  <c r="R56" i="33" s="1"/>
  <c r="P114" i="33"/>
  <c r="R114" i="33" s="1"/>
  <c r="P98" i="33"/>
  <c r="P139" i="33"/>
  <c r="R139" i="33" s="1"/>
  <c r="P192" i="33"/>
  <c r="R192" i="33" s="1"/>
  <c r="P137" i="33"/>
  <c r="R137" i="33" s="1"/>
  <c r="P195" i="33"/>
  <c r="R195" i="33" s="1"/>
  <c r="P149" i="33"/>
  <c r="P205" i="33"/>
  <c r="R205" i="33" s="1"/>
  <c r="P71" i="33"/>
  <c r="R71" i="33" s="1"/>
  <c r="P120" i="33"/>
  <c r="R120" i="33" s="1"/>
  <c r="P91" i="33"/>
  <c r="R91" i="33" s="1"/>
  <c r="P57" i="33"/>
  <c r="R57" i="33" s="1"/>
  <c r="P99" i="33"/>
  <c r="R99" i="33" s="1"/>
  <c r="P75" i="33"/>
  <c r="R75" i="33" s="1"/>
  <c r="P62" i="33"/>
  <c r="R62" i="33" s="1"/>
  <c r="P108" i="33"/>
  <c r="R108" i="33" s="1"/>
  <c r="P61" i="33"/>
  <c r="R61" i="33" s="1"/>
  <c r="P74" i="33"/>
  <c r="R74" i="33" s="1"/>
  <c r="P53" i="33"/>
  <c r="R53" i="33" s="1"/>
  <c r="P84" i="33"/>
  <c r="P160" i="33"/>
  <c r="R160" i="33" s="1"/>
  <c r="P140" i="33"/>
  <c r="R140" i="33" s="1"/>
  <c r="O332" i="33"/>
  <c r="P327" i="33"/>
  <c r="R327" i="33" s="1"/>
  <c r="P326" i="33"/>
  <c r="R326" i="33" s="1"/>
  <c r="P328" i="33"/>
  <c r="R328" i="33" s="1"/>
  <c r="P329" i="33"/>
  <c r="R329" i="33" s="1"/>
  <c r="D27" i="1"/>
  <c r="D332" i="1" s="1"/>
  <c r="R52" i="47" l="1"/>
  <c r="P249" i="47"/>
  <c r="R249" i="47" s="1"/>
  <c r="P266" i="47"/>
  <c r="R266" i="47" s="1"/>
  <c r="P244" i="47"/>
  <c r="R244" i="47" s="1"/>
  <c r="P41" i="47"/>
  <c r="R41" i="47" s="1"/>
  <c r="P247" i="33"/>
  <c r="R247" i="33" s="1"/>
  <c r="P260" i="33"/>
  <c r="R260" i="33" s="1"/>
  <c r="D35" i="47"/>
  <c r="D35" i="35"/>
  <c r="P253" i="35"/>
  <c r="R253" i="35" s="1"/>
  <c r="P245" i="35"/>
  <c r="R245" i="35" s="1"/>
  <c r="P44" i="35"/>
  <c r="P263" i="35"/>
  <c r="R263" i="35" s="1"/>
  <c r="P247" i="35"/>
  <c r="R247" i="35" s="1"/>
  <c r="P257" i="35"/>
  <c r="R257" i="35" s="1"/>
  <c r="P241" i="35"/>
  <c r="R241" i="35" s="1"/>
  <c r="P43" i="35"/>
  <c r="P246" i="35"/>
  <c r="R246" i="35" s="1"/>
  <c r="P257" i="47"/>
  <c r="R257" i="47" s="1"/>
  <c r="P263" i="47"/>
  <c r="R263" i="47" s="1"/>
  <c r="P246" i="47"/>
  <c r="R246" i="47" s="1"/>
  <c r="P44" i="47"/>
  <c r="R44" i="47" s="1"/>
  <c r="P42" i="47"/>
  <c r="R42" i="47" s="1"/>
  <c r="P247" i="47"/>
  <c r="R247" i="47" s="1"/>
  <c r="P245" i="47"/>
  <c r="R245" i="47" s="1"/>
  <c r="P241" i="47"/>
  <c r="R241" i="47" s="1"/>
  <c r="H359" i="30"/>
  <c r="D34" i="47"/>
  <c r="O34" i="47" s="1"/>
  <c r="P34" i="47" s="1"/>
  <c r="R34" i="47" s="1"/>
  <c r="D34" i="35"/>
  <c r="O34" i="35" s="1"/>
  <c r="P34" i="35" s="1"/>
  <c r="C2" i="30"/>
  <c r="D9" i="30" s="1"/>
  <c r="D25" i="33"/>
  <c r="O25" i="33" s="1"/>
  <c r="P25" i="33" s="1"/>
  <c r="P253" i="47"/>
  <c r="R253" i="47" s="1"/>
  <c r="P271" i="47"/>
  <c r="R271" i="47" s="1"/>
  <c r="P252" i="33"/>
  <c r="R252" i="33" s="1"/>
  <c r="P253" i="33"/>
  <c r="R253" i="33" s="1"/>
  <c r="P255" i="35"/>
  <c r="R255" i="35" s="1"/>
  <c r="P252" i="35"/>
  <c r="R252" i="35" s="1"/>
  <c r="P46" i="47"/>
  <c r="R46" i="47" s="1"/>
  <c r="P47" i="47"/>
  <c r="R47" i="47" s="1"/>
  <c r="P252" i="47"/>
  <c r="R252" i="47" s="1"/>
  <c r="P255" i="47"/>
  <c r="R255" i="47" s="1"/>
  <c r="R260" i="35"/>
  <c r="R259" i="35"/>
  <c r="R45" i="35"/>
  <c r="R258" i="35"/>
  <c r="R244" i="35"/>
  <c r="R46" i="35"/>
  <c r="R250" i="35"/>
  <c r="R249" i="35"/>
  <c r="R50" i="35"/>
  <c r="R47" i="35"/>
  <c r="P251" i="33"/>
  <c r="R251" i="33" s="1"/>
  <c r="P312" i="33"/>
  <c r="R312" i="33" s="1"/>
  <c r="P299" i="33"/>
  <c r="R299" i="33" s="1"/>
  <c r="P305" i="33"/>
  <c r="R305" i="33" s="1"/>
  <c r="P313" i="33"/>
  <c r="R313" i="33" s="1"/>
  <c r="P309" i="33"/>
  <c r="R309" i="33" s="1"/>
  <c r="P301" i="33"/>
  <c r="R301" i="33" s="1"/>
  <c r="P314" i="33"/>
  <c r="R314" i="33" s="1"/>
  <c r="P298" i="33"/>
  <c r="R298" i="33" s="1"/>
  <c r="P311" i="33"/>
  <c r="R311" i="33" s="1"/>
  <c r="P306" i="33"/>
  <c r="R306" i="33" s="1"/>
  <c r="P297" i="33"/>
  <c r="R297" i="33" s="1"/>
  <c r="P307" i="33"/>
  <c r="R307" i="33" s="1"/>
  <c r="P295" i="33"/>
  <c r="R295" i="33" s="1"/>
  <c r="P302" i="33"/>
  <c r="R302" i="33" s="1"/>
  <c r="P310" i="33"/>
  <c r="R310" i="33" s="1"/>
  <c r="P303" i="33"/>
  <c r="R303" i="33" s="1"/>
  <c r="P300" i="33"/>
  <c r="R300" i="33" s="1"/>
  <c r="P296" i="33"/>
  <c r="R296" i="33" s="1"/>
  <c r="P308" i="33"/>
  <c r="R308" i="33" s="1"/>
  <c r="P304" i="33"/>
  <c r="R304" i="33" s="1"/>
  <c r="P27" i="33"/>
  <c r="P243" i="33"/>
  <c r="R243" i="33" s="1"/>
  <c r="P51" i="33"/>
  <c r="R51" i="33" s="1"/>
  <c r="R89" i="35"/>
  <c r="R162" i="35"/>
  <c r="R72" i="35"/>
  <c r="R177" i="35"/>
  <c r="R167" i="35"/>
  <c r="R178" i="35"/>
  <c r="R148" i="35"/>
  <c r="R172" i="35"/>
  <c r="R59" i="35"/>
  <c r="R73" i="35"/>
  <c r="R97" i="35"/>
  <c r="R99" i="35"/>
  <c r="R68" i="35"/>
  <c r="R92" i="35"/>
  <c r="R111" i="35"/>
  <c r="R138" i="35"/>
  <c r="R74" i="35"/>
  <c r="R139" i="35"/>
  <c r="R175" i="35"/>
  <c r="R104" i="35"/>
  <c r="R161" i="35"/>
  <c r="R93" i="35"/>
  <c r="R52" i="35"/>
  <c r="R135" i="35"/>
  <c r="R64" i="35"/>
  <c r="R181" i="35"/>
  <c r="R140" i="35"/>
  <c r="R106" i="35"/>
  <c r="R94" i="35"/>
  <c r="R155" i="35"/>
  <c r="R103" i="35"/>
  <c r="R143" i="35"/>
  <c r="R158" i="35"/>
  <c r="R90" i="35"/>
  <c r="R61" i="35"/>
  <c r="R147" i="35"/>
  <c r="R169" i="35"/>
  <c r="R234" i="35"/>
  <c r="R133" i="35"/>
  <c r="R53" i="35"/>
  <c r="R91" i="35"/>
  <c r="R75" i="35"/>
  <c r="R116" i="35"/>
  <c r="R144" i="35"/>
  <c r="R170" i="35"/>
  <c r="R235" i="35"/>
  <c r="R102" i="35"/>
  <c r="R179" i="35"/>
  <c r="R117" i="35"/>
  <c r="R96" i="35"/>
  <c r="R120" i="35"/>
  <c r="R153" i="35"/>
  <c r="R194" i="35"/>
  <c r="R114" i="35"/>
  <c r="R168" i="35"/>
  <c r="R62" i="35"/>
  <c r="R121" i="35"/>
  <c r="R128" i="35"/>
  <c r="R159" i="35"/>
  <c r="R131" i="35"/>
  <c r="R137" i="35"/>
  <c r="R160" i="35"/>
  <c r="R134" i="35"/>
  <c r="R105" i="35"/>
  <c r="R118" i="35"/>
  <c r="R199" i="35"/>
  <c r="R71" i="35"/>
  <c r="R201" i="35"/>
  <c r="R130" i="35"/>
  <c r="R174" i="35"/>
  <c r="R136" i="35"/>
  <c r="R122" i="35"/>
  <c r="R165" i="35"/>
  <c r="R107" i="35"/>
  <c r="R156" i="35"/>
  <c r="R88" i="35"/>
  <c r="R132" i="35"/>
  <c r="R65" i="35"/>
  <c r="R95" i="35"/>
  <c r="R176" i="35"/>
  <c r="R119" i="35"/>
  <c r="R55" i="35"/>
  <c r="R195" i="35"/>
  <c r="R109" i="35"/>
  <c r="R142" i="35"/>
  <c r="R54" i="35"/>
  <c r="R182" i="35"/>
  <c r="R141" i="35"/>
  <c r="R63" i="35"/>
  <c r="R164" i="35"/>
  <c r="R115" i="35"/>
  <c r="R112" i="35"/>
  <c r="R152" i="35"/>
  <c r="R154" i="35"/>
  <c r="R233" i="35"/>
  <c r="R157" i="35"/>
  <c r="R198" i="35"/>
  <c r="R108" i="35"/>
  <c r="R166" i="35"/>
  <c r="R78" i="35"/>
  <c r="R79" i="35"/>
  <c r="R77" i="35"/>
  <c r="R80" i="35"/>
  <c r="R76" i="35"/>
  <c r="P269" i="47"/>
  <c r="R269" i="47" s="1"/>
  <c r="P51" i="47"/>
  <c r="R51" i="47" s="1"/>
  <c r="P32" i="35"/>
  <c r="P51" i="35"/>
  <c r="P262" i="33"/>
  <c r="R262" i="33" s="1"/>
  <c r="P32" i="33"/>
  <c r="R32" i="33" s="1"/>
  <c r="P269" i="35"/>
  <c r="P262" i="35"/>
  <c r="P240" i="33"/>
  <c r="R240" i="33" s="1"/>
  <c r="P269" i="33"/>
  <c r="R269" i="33" s="1"/>
  <c r="P316" i="47"/>
  <c r="R316" i="47" s="1"/>
  <c r="P288" i="47"/>
  <c r="P309" i="47"/>
  <c r="P307" i="47"/>
  <c r="P324" i="47"/>
  <c r="R324" i="47" s="1"/>
  <c r="P275" i="47"/>
  <c r="R275" i="47" s="1"/>
  <c r="P304" i="47"/>
  <c r="P274" i="47"/>
  <c r="R274" i="47" s="1"/>
  <c r="P301" i="47"/>
  <c r="P326" i="47"/>
  <c r="R326" i="47" s="1"/>
  <c r="P276" i="47"/>
  <c r="R276" i="47" s="1"/>
  <c r="P280" i="47"/>
  <c r="P317" i="47"/>
  <c r="P284" i="47"/>
  <c r="P306" i="47"/>
  <c r="P295" i="47"/>
  <c r="R295" i="47" s="1"/>
  <c r="P285" i="47"/>
  <c r="P312" i="47"/>
  <c r="R312" i="47" s="1"/>
  <c r="P282" i="47"/>
  <c r="P327" i="47"/>
  <c r="R327" i="47" s="1"/>
  <c r="P318" i="47"/>
  <c r="P286" i="47"/>
  <c r="P299" i="47"/>
  <c r="P281" i="47"/>
  <c r="P310" i="47"/>
  <c r="R310" i="47" s="1"/>
  <c r="P323" i="47"/>
  <c r="P325" i="47"/>
  <c r="R325" i="47" s="1"/>
  <c r="P311" i="47"/>
  <c r="R311" i="47" s="1"/>
  <c r="P319" i="47"/>
  <c r="P298" i="47"/>
  <c r="P278" i="47"/>
  <c r="R278" i="47" s="1"/>
  <c r="P297" i="47"/>
  <c r="P300" i="47"/>
  <c r="P279" i="47"/>
  <c r="P296" i="47"/>
  <c r="P287" i="47"/>
  <c r="P283" i="47"/>
  <c r="P308" i="47"/>
  <c r="P303" i="47"/>
  <c r="P305" i="47"/>
  <c r="P277" i="47"/>
  <c r="R277" i="47" s="1"/>
  <c r="P302" i="47"/>
  <c r="P289" i="47"/>
  <c r="P320" i="47"/>
  <c r="P273" i="47"/>
  <c r="R273" i="47" s="1"/>
  <c r="P43" i="47"/>
  <c r="R43" i="47" s="1"/>
  <c r="P27" i="47"/>
  <c r="P267" i="47"/>
  <c r="R267" i="47" s="1"/>
  <c r="P265" i="47"/>
  <c r="R265" i="47" s="1"/>
  <c r="P290" i="47"/>
  <c r="P243" i="47"/>
  <c r="R243" i="47" s="1"/>
  <c r="P239" i="47"/>
  <c r="P242" i="47"/>
  <c r="R242" i="47" s="1"/>
  <c r="P256" i="47"/>
  <c r="R256" i="47" s="1"/>
  <c r="P248" i="47"/>
  <c r="R248" i="47" s="1"/>
  <c r="P270" i="47"/>
  <c r="R270" i="47" s="1"/>
  <c r="P240" i="47"/>
  <c r="R240" i="47" s="1"/>
  <c r="P39" i="47"/>
  <c r="R39" i="47" s="1"/>
  <c r="P49" i="47"/>
  <c r="P268" i="47"/>
  <c r="R268" i="47" s="1"/>
  <c r="P321" i="47"/>
  <c r="P293" i="47"/>
  <c r="R293" i="47" s="1"/>
  <c r="P38" i="47"/>
  <c r="R38" i="47" s="1"/>
  <c r="P315" i="47"/>
  <c r="R315" i="47" s="1"/>
  <c r="P292" i="47"/>
  <c r="R292" i="47" s="1"/>
  <c r="P322" i="47"/>
  <c r="P30" i="47"/>
  <c r="R30" i="47" s="1"/>
  <c r="P40" i="47"/>
  <c r="R40" i="47" s="1"/>
  <c r="P32" i="47"/>
  <c r="R32" i="47" s="1"/>
  <c r="P294" i="47"/>
  <c r="R294" i="47" s="1"/>
  <c r="P262" i="47"/>
  <c r="R262" i="47" s="1"/>
  <c r="P254" i="47"/>
  <c r="R254" i="47" s="1"/>
  <c r="P261" i="47"/>
  <c r="R261" i="47" s="1"/>
  <c r="P291" i="47"/>
  <c r="R291" i="47" s="1"/>
  <c r="P251" i="47"/>
  <c r="R251" i="47" s="1"/>
  <c r="P31" i="47"/>
  <c r="R31" i="47" s="1"/>
  <c r="P313" i="47"/>
  <c r="R313" i="47" s="1"/>
  <c r="P36" i="47"/>
  <c r="R36" i="47" s="1"/>
  <c r="P29" i="47"/>
  <c r="P264" i="47"/>
  <c r="R264" i="47" s="1"/>
  <c r="P33" i="47"/>
  <c r="R33" i="47" s="1"/>
  <c r="P314" i="47"/>
  <c r="R314" i="47" s="1"/>
  <c r="P37" i="47"/>
  <c r="R37" i="47" s="1"/>
  <c r="R329" i="47"/>
  <c r="P243" i="35"/>
  <c r="P242" i="35"/>
  <c r="P251" i="35"/>
  <c r="P242" i="33"/>
  <c r="R242" i="33" s="1"/>
  <c r="P239" i="33"/>
  <c r="R239" i="33" s="1"/>
  <c r="P240" i="35"/>
  <c r="P239" i="35"/>
  <c r="P41" i="33"/>
  <c r="R41" i="33" s="1"/>
  <c r="P323" i="33"/>
  <c r="R323" i="33" s="1"/>
  <c r="P273" i="33"/>
  <c r="R273" i="33" s="1"/>
  <c r="P286" i="33"/>
  <c r="R286" i="33" s="1"/>
  <c r="P285" i="33"/>
  <c r="R285" i="33" s="1"/>
  <c r="P293" i="33"/>
  <c r="R293" i="33" s="1"/>
  <c r="P265" i="33"/>
  <c r="R265" i="33" s="1"/>
  <c r="P289" i="33"/>
  <c r="R289" i="33" s="1"/>
  <c r="P321" i="33"/>
  <c r="R321" i="33" s="1"/>
  <c r="P324" i="33"/>
  <c r="R324" i="33" s="1"/>
  <c r="P292" i="33"/>
  <c r="R292" i="33" s="1"/>
  <c r="P294" i="33"/>
  <c r="R294" i="33" s="1"/>
  <c r="P256" i="33"/>
  <c r="R256" i="33" s="1"/>
  <c r="P320" i="33"/>
  <c r="R320" i="33" s="1"/>
  <c r="P315" i="33"/>
  <c r="R315" i="33" s="1"/>
  <c r="P325" i="33"/>
  <c r="R325" i="33" s="1"/>
  <c r="P322" i="33"/>
  <c r="R322" i="33" s="1"/>
  <c r="P281" i="33"/>
  <c r="R281" i="33" s="1"/>
  <c r="P31" i="33"/>
  <c r="R31" i="33" s="1"/>
  <c r="P319" i="33"/>
  <c r="R319" i="33" s="1"/>
  <c r="P268" i="33"/>
  <c r="R268" i="33" s="1"/>
  <c r="P33" i="33"/>
  <c r="R33" i="33" s="1"/>
  <c r="P30" i="33"/>
  <c r="R30" i="33" s="1"/>
  <c r="P34" i="33"/>
  <c r="R34" i="33" s="1"/>
  <c r="P49" i="33"/>
  <c r="R49" i="33" s="1"/>
  <c r="P267" i="33"/>
  <c r="R267" i="33" s="1"/>
  <c r="P284" i="33"/>
  <c r="R284" i="33" s="1"/>
  <c r="P40" i="33"/>
  <c r="R40" i="33" s="1"/>
  <c r="P37" i="33"/>
  <c r="R37" i="33" s="1"/>
  <c r="P42" i="33"/>
  <c r="R42" i="33" s="1"/>
  <c r="P248" i="33"/>
  <c r="P316" i="33"/>
  <c r="R316" i="33" s="1"/>
  <c r="P264" i="33"/>
  <c r="R264" i="33" s="1"/>
  <c r="P276" i="33"/>
  <c r="R276" i="33" s="1"/>
  <c r="P291" i="33"/>
  <c r="R291" i="33" s="1"/>
  <c r="P280" i="33"/>
  <c r="R280" i="33" s="1"/>
  <c r="P38" i="33"/>
  <c r="R38" i="33" s="1"/>
  <c r="P35" i="33"/>
  <c r="R35" i="33" s="1"/>
  <c r="P318" i="33"/>
  <c r="R318" i="33" s="1"/>
  <c r="P317" i="33"/>
  <c r="R317" i="33" s="1"/>
  <c r="P288" i="33"/>
  <c r="R288" i="33" s="1"/>
  <c r="P275" i="33"/>
  <c r="R275" i="33" s="1"/>
  <c r="P254" i="33"/>
  <c r="R254" i="33" s="1"/>
  <c r="P36" i="33"/>
  <c r="R36" i="33" s="1"/>
  <c r="P39" i="33"/>
  <c r="R39" i="33" s="1"/>
  <c r="P287" i="33"/>
  <c r="R287" i="33" s="1"/>
  <c r="P274" i="33"/>
  <c r="R274" i="33" s="1"/>
  <c r="P29" i="33"/>
  <c r="R29" i="33" s="1"/>
  <c r="P261" i="33"/>
  <c r="R261" i="33" s="1"/>
  <c r="P279" i="33"/>
  <c r="R279" i="33" s="1"/>
  <c r="P277" i="33"/>
  <c r="R277" i="33" s="1"/>
  <c r="P270" i="33"/>
  <c r="R270" i="33" s="1"/>
  <c r="P283" i="33"/>
  <c r="R283" i="33" s="1"/>
  <c r="P290" i="33"/>
  <c r="R290" i="33" s="1"/>
  <c r="P278" i="33"/>
  <c r="R278" i="33" s="1"/>
  <c r="P282" i="33"/>
  <c r="R282" i="33" s="1"/>
  <c r="R170" i="33"/>
  <c r="R112" i="33"/>
  <c r="R66" i="33"/>
  <c r="R96" i="33"/>
  <c r="R152" i="33"/>
  <c r="R173" i="33"/>
  <c r="R151" i="33"/>
  <c r="R150" i="33"/>
  <c r="R83" i="35"/>
  <c r="R150" i="35"/>
  <c r="R81" i="33"/>
  <c r="R172" i="33"/>
  <c r="R123" i="33"/>
  <c r="P301" i="35"/>
  <c r="P268" i="35"/>
  <c r="P309" i="35"/>
  <c r="P294" i="35"/>
  <c r="P299" i="35"/>
  <c r="P40" i="35"/>
  <c r="P30" i="35"/>
  <c r="P290" i="35"/>
  <c r="P39" i="35"/>
  <c r="P287" i="35"/>
  <c r="P31" i="35"/>
  <c r="P38" i="35"/>
  <c r="P285" i="35"/>
  <c r="P316" i="35"/>
  <c r="P270" i="35"/>
  <c r="P276" i="35"/>
  <c r="P296" i="35"/>
  <c r="P317" i="35"/>
  <c r="P282" i="35"/>
  <c r="P312" i="35"/>
  <c r="P261" i="35"/>
  <c r="P280" i="35"/>
  <c r="P308" i="35"/>
  <c r="P279" i="35"/>
  <c r="P305" i="35"/>
  <c r="P41" i="35"/>
  <c r="P293" i="35"/>
  <c r="P325" i="35"/>
  <c r="P291" i="35"/>
  <c r="P286" i="35"/>
  <c r="P315" i="35"/>
  <c r="P284" i="35"/>
  <c r="P324" i="35"/>
  <c r="P256" i="35"/>
  <c r="P289" i="35"/>
  <c r="P318" i="35"/>
  <c r="P310" i="35"/>
  <c r="P283" i="35"/>
  <c r="P36" i="35"/>
  <c r="P278" i="35"/>
  <c r="P320" i="35"/>
  <c r="P264" i="35"/>
  <c r="P304" i="35"/>
  <c r="P265" i="35"/>
  <c r="P306" i="35"/>
  <c r="P273" i="35"/>
  <c r="P300" i="35"/>
  <c r="P307" i="35"/>
  <c r="P49" i="35"/>
  <c r="P288" i="35"/>
  <c r="P319" i="35"/>
  <c r="P275" i="35"/>
  <c r="P297" i="35"/>
  <c r="P254" i="35"/>
  <c r="P42" i="35"/>
  <c r="P302" i="35"/>
  <c r="P248" i="35"/>
  <c r="P322" i="35"/>
  <c r="P277" i="35"/>
  <c r="P313" i="35"/>
  <c r="P314" i="35"/>
  <c r="P303" i="35"/>
  <c r="P37" i="35"/>
  <c r="P323" i="35"/>
  <c r="P281" i="35"/>
  <c r="P298" i="35"/>
  <c r="P267" i="35"/>
  <c r="P321" i="35"/>
  <c r="P29" i="35"/>
  <c r="P33" i="35"/>
  <c r="P292" i="35"/>
  <c r="P311" i="35"/>
  <c r="P295" i="35"/>
  <c r="P274" i="35"/>
  <c r="R81" i="35"/>
  <c r="R110" i="35"/>
  <c r="R180" i="35"/>
  <c r="P27" i="35"/>
  <c r="R58" i="35"/>
  <c r="R84" i="35"/>
  <c r="R163" i="35"/>
  <c r="R98" i="35"/>
  <c r="R129" i="35"/>
  <c r="R84" i="33"/>
  <c r="R98" i="33"/>
  <c r="R233" i="33"/>
  <c r="R180" i="33"/>
  <c r="R113" i="33"/>
  <c r="R97" i="33"/>
  <c r="R329" i="35"/>
  <c r="R327" i="35"/>
  <c r="R183" i="35"/>
  <c r="R197" i="35"/>
  <c r="R69" i="35"/>
  <c r="R196" i="35"/>
  <c r="R66" i="35"/>
  <c r="R82" i="35"/>
  <c r="R57" i="35"/>
  <c r="R166" i="33"/>
  <c r="R128" i="33"/>
  <c r="R326" i="35"/>
  <c r="R171" i="35"/>
  <c r="R149" i="35"/>
  <c r="R149" i="33"/>
  <c r="R67" i="33"/>
  <c r="R82" i="33"/>
  <c r="R199" i="33"/>
  <c r="R234" i="33"/>
  <c r="R111" i="33"/>
  <c r="R183" i="33"/>
  <c r="R68" i="33"/>
  <c r="R83" i="33"/>
  <c r="R197" i="33"/>
  <c r="R328" i="35"/>
  <c r="R113" i="35"/>
  <c r="R123" i="35"/>
  <c r="R173" i="35"/>
  <c r="R56" i="35"/>
  <c r="R67" i="35"/>
  <c r="R151" i="35"/>
  <c r="D20" i="30" l="1"/>
  <c r="C331" i="30"/>
  <c r="D12" i="30"/>
  <c r="D18" i="30"/>
  <c r="D19" i="30"/>
  <c r="D11" i="30"/>
  <c r="D15" i="30"/>
  <c r="D8" i="30"/>
  <c r="D10" i="30"/>
  <c r="D14" i="30"/>
  <c r="D16" i="30"/>
  <c r="D17" i="30"/>
  <c r="D6" i="30"/>
  <c r="D13" i="30"/>
  <c r="D3" i="30"/>
  <c r="D4" i="30"/>
  <c r="D25" i="30"/>
  <c r="D23" i="30"/>
  <c r="D2" i="47"/>
  <c r="D2" i="33"/>
  <c r="D2" i="35"/>
  <c r="R85" i="35"/>
  <c r="R86" i="35"/>
  <c r="R275" i="35"/>
  <c r="R37" i="35"/>
  <c r="R36" i="35"/>
  <c r="R324" i="35"/>
  <c r="R293" i="35"/>
  <c r="R31" i="35"/>
  <c r="R242" i="35"/>
  <c r="R32" i="35"/>
  <c r="R256" i="35"/>
  <c r="R274" i="35"/>
  <c r="R265" i="35"/>
  <c r="R276" i="35"/>
  <c r="R294" i="35"/>
  <c r="R239" i="35"/>
  <c r="R243" i="35"/>
  <c r="R262" i="35"/>
  <c r="R325" i="35"/>
  <c r="R251" i="35"/>
  <c r="R51" i="35"/>
  <c r="R295" i="35"/>
  <c r="R314" i="35"/>
  <c r="R310" i="35"/>
  <c r="R315" i="35"/>
  <c r="R34" i="35"/>
  <c r="R261" i="35"/>
  <c r="R240" i="35"/>
  <c r="R273" i="35"/>
  <c r="R311" i="35"/>
  <c r="R313" i="35"/>
  <c r="R254" i="35"/>
  <c r="R264" i="35"/>
  <c r="R316" i="35"/>
  <c r="R33" i="35"/>
  <c r="R292" i="35"/>
  <c r="R277" i="35"/>
  <c r="R30" i="35"/>
  <c r="R27" i="47"/>
  <c r="R29" i="47"/>
  <c r="R239" i="47"/>
  <c r="P238" i="47"/>
  <c r="R238" i="47" s="1"/>
  <c r="P48" i="47"/>
  <c r="R48" i="47" s="1"/>
  <c r="R49" i="47"/>
  <c r="R27" i="33"/>
  <c r="P48" i="35"/>
  <c r="R49" i="35"/>
  <c r="R312" i="35"/>
  <c r="P28" i="33"/>
  <c r="R28" i="33" s="1"/>
  <c r="R291" i="35"/>
  <c r="R278" i="35"/>
  <c r="R248" i="33"/>
  <c r="P238" i="33"/>
  <c r="R238" i="33" s="1"/>
  <c r="R29" i="35"/>
  <c r="R248" i="35"/>
  <c r="P238" i="35"/>
  <c r="R330" i="35" s="1"/>
  <c r="P48" i="33"/>
  <c r="R48" i="33" s="1"/>
  <c r="C331" i="47"/>
  <c r="O331" i="47" s="1"/>
  <c r="D331" i="35" l="1"/>
  <c r="D331" i="47"/>
  <c r="D330" i="33"/>
  <c r="D339" i="47"/>
  <c r="D339" i="35"/>
  <c r="D331" i="33"/>
  <c r="D340" i="47"/>
  <c r="D340" i="35"/>
  <c r="B347" i="36"/>
  <c r="B355" i="48"/>
  <c r="B347" i="46"/>
  <c r="B347" i="45"/>
  <c r="B347" i="44"/>
  <c r="B347" i="40"/>
  <c r="B347" i="43"/>
  <c r="B347" i="42"/>
  <c r="B347" i="39"/>
  <c r="B347" i="38"/>
  <c r="B347" i="35"/>
  <c r="B347" i="32"/>
  <c r="B356" i="31"/>
  <c r="B354" i="48"/>
  <c r="B346" i="40"/>
  <c r="B346" i="32"/>
  <c r="B346" i="44"/>
  <c r="B346" i="46"/>
  <c r="B346" i="43"/>
  <c r="B346" i="45"/>
  <c r="B346" i="42"/>
  <c r="B355" i="31"/>
  <c r="B346" i="35"/>
  <c r="B346" i="39"/>
  <c r="B346" i="38"/>
  <c r="B346" i="36"/>
  <c r="B349" i="36"/>
  <c r="B357" i="48"/>
  <c r="B357" i="45"/>
  <c r="B349" i="46"/>
  <c r="B349" i="39"/>
  <c r="B349" i="40"/>
  <c r="B349" i="43"/>
  <c r="B349" i="44"/>
  <c r="B349" i="42"/>
  <c r="B349" i="35"/>
  <c r="B349" i="38"/>
  <c r="B349" i="32"/>
  <c r="B358" i="31"/>
  <c r="B348" i="36"/>
  <c r="B356" i="48"/>
  <c r="B348" i="46"/>
  <c r="B348" i="45"/>
  <c r="B348" i="44"/>
  <c r="B348" i="43"/>
  <c r="B348" i="42"/>
  <c r="B348" i="39"/>
  <c r="B348" i="40"/>
  <c r="B348" i="38"/>
  <c r="B348" i="35"/>
  <c r="B348" i="32"/>
  <c r="B357" i="31"/>
  <c r="B345" i="36"/>
  <c r="B353" i="48"/>
  <c r="B345" i="46"/>
  <c r="B345" i="45"/>
  <c r="B345" i="43"/>
  <c r="B345" i="42"/>
  <c r="B345" i="44"/>
  <c r="B345" i="40"/>
  <c r="B345" i="39"/>
  <c r="B345" i="38"/>
  <c r="B345" i="35"/>
  <c r="B345" i="32"/>
  <c r="B354" i="31"/>
  <c r="B344" i="46"/>
  <c r="B344" i="48"/>
  <c r="B344" i="39"/>
  <c r="B344" i="32"/>
  <c r="B344" i="36"/>
  <c r="B344" i="43"/>
  <c r="B344" i="45"/>
  <c r="B344" i="44"/>
  <c r="B353" i="31"/>
  <c r="B344" i="42"/>
  <c r="B344" i="40"/>
  <c r="B344" i="35"/>
  <c r="B344" i="38"/>
  <c r="R238" i="35"/>
  <c r="B340" i="48"/>
  <c r="B340" i="46"/>
  <c r="B340" i="47"/>
  <c r="B340" i="45"/>
  <c r="B340" i="43"/>
  <c r="B340" i="39"/>
  <c r="B340" i="44"/>
  <c r="B340" i="42"/>
  <c r="B340" i="40"/>
  <c r="B337" i="48"/>
  <c r="B337" i="46"/>
  <c r="B337" i="47"/>
  <c r="B337" i="45"/>
  <c r="B337" i="44"/>
  <c r="B337" i="42"/>
  <c r="B337" i="40"/>
  <c r="B337" i="43"/>
  <c r="B337" i="41"/>
  <c r="B337" i="39"/>
  <c r="B339" i="48"/>
  <c r="B339" i="45"/>
  <c r="B339" i="46"/>
  <c r="B339" i="47"/>
  <c r="B339" i="43"/>
  <c r="B339" i="39"/>
  <c r="B339" i="42"/>
  <c r="B339" i="40"/>
  <c r="B339" i="44"/>
  <c r="B343" i="48"/>
  <c r="B343" i="46"/>
  <c r="B343" i="45"/>
  <c r="B343" i="44"/>
  <c r="B343" i="42"/>
  <c r="B343" i="40"/>
  <c r="B343" i="43"/>
  <c r="B343" i="39"/>
  <c r="B342" i="48"/>
  <c r="B342" i="47"/>
  <c r="B342" i="45"/>
  <c r="B342" i="46"/>
  <c r="B342" i="44"/>
  <c r="B342" i="42"/>
  <c r="B342" i="40"/>
  <c r="B342" i="39"/>
  <c r="B342" i="43"/>
  <c r="B338" i="48"/>
  <c r="B338" i="46"/>
  <c r="B338" i="47"/>
  <c r="B338" i="45"/>
  <c r="B338" i="42"/>
  <c r="B338" i="40"/>
  <c r="B338" i="44"/>
  <c r="B338" i="43"/>
  <c r="B338" i="39"/>
  <c r="B341" i="48"/>
  <c r="B341" i="47"/>
  <c r="B341" i="45"/>
  <c r="B341" i="46"/>
  <c r="B341" i="43"/>
  <c r="B341" i="39"/>
  <c r="B341" i="44"/>
  <c r="B341" i="42"/>
  <c r="B341" i="40"/>
  <c r="P332" i="47"/>
  <c r="B343" i="38"/>
  <c r="B343" i="36"/>
  <c r="B343" i="35"/>
  <c r="B343" i="32"/>
  <c r="B352" i="31"/>
  <c r="B341" i="36"/>
  <c r="B341" i="38"/>
  <c r="B341" i="35"/>
  <c r="B341" i="32"/>
  <c r="B350" i="31"/>
  <c r="B340" i="38"/>
  <c r="B340" i="36"/>
  <c r="B340" i="35"/>
  <c r="B340" i="32"/>
  <c r="B349" i="31"/>
  <c r="B339" i="38"/>
  <c r="B339" i="35"/>
  <c r="B339" i="36"/>
  <c r="B339" i="32"/>
  <c r="B348" i="31"/>
  <c r="C331" i="35"/>
  <c r="C331" i="33"/>
  <c r="B342" i="35"/>
  <c r="B342" i="38"/>
  <c r="B342" i="36"/>
  <c r="B342" i="32"/>
  <c r="B351" i="31"/>
  <c r="B337" i="38"/>
  <c r="B337" i="35"/>
  <c r="B337" i="36"/>
  <c r="B337" i="33"/>
  <c r="B337" i="32"/>
  <c r="B337" i="31"/>
  <c r="B338" i="36"/>
  <c r="B338" i="35"/>
  <c r="B338" i="38"/>
  <c r="B338" i="32"/>
  <c r="B338" i="31"/>
  <c r="P332" i="35"/>
  <c r="P332" i="33"/>
  <c r="D362" i="47" l="1"/>
  <c r="D343" i="35"/>
  <c r="D344" i="35"/>
  <c r="O331" i="35"/>
  <c r="O331" i="33"/>
  <c r="D359" i="33" l="1"/>
  <c r="R27" i="35"/>
  <c r="E35" i="35" l="1"/>
  <c r="E35" i="47"/>
  <c r="C2" i="31"/>
  <c r="D9" i="31" s="1"/>
  <c r="D18" i="31" l="1"/>
  <c r="E2" i="33"/>
  <c r="D11" i="31"/>
  <c r="D15" i="31"/>
  <c r="D22" i="31"/>
  <c r="D25" i="31"/>
  <c r="D23" i="31"/>
  <c r="D21" i="31"/>
  <c r="D20" i="31"/>
  <c r="D26" i="31"/>
  <c r="D19" i="31"/>
  <c r="D24" i="31"/>
  <c r="D12" i="31"/>
  <c r="D16" i="31"/>
  <c r="D17" i="31"/>
  <c r="D13" i="31"/>
  <c r="D14" i="31"/>
  <c r="D8" i="31"/>
  <c r="D10" i="31"/>
  <c r="D4" i="31"/>
  <c r="D6" i="31"/>
  <c r="D3" i="31"/>
  <c r="C331" i="31"/>
  <c r="E331" i="33" s="1"/>
  <c r="E2" i="47"/>
  <c r="E2" i="35"/>
  <c r="D2" i="31" l="1"/>
  <c r="E331" i="47"/>
  <c r="E331" i="35"/>
  <c r="E339" i="47"/>
  <c r="E339" i="35"/>
  <c r="O330" i="33"/>
  <c r="P330" i="33" s="1"/>
  <c r="R330" i="33" s="1"/>
  <c r="C335" i="31"/>
  <c r="E340" i="35"/>
  <c r="E340" i="47"/>
  <c r="E335" i="47" l="1"/>
  <c r="E335" i="33"/>
  <c r="C361" i="31"/>
  <c r="E361" i="33" s="1"/>
  <c r="E362" i="47"/>
  <c r="E335" i="35"/>
  <c r="E343" i="35"/>
  <c r="D335" i="31"/>
  <c r="E344" i="35"/>
  <c r="G33" i="31" l="1"/>
  <c r="E361" i="35"/>
  <c r="E361" i="47"/>
  <c r="C26" i="32"/>
  <c r="C2" i="32"/>
  <c r="D9" i="32" s="1"/>
  <c r="F35" i="35"/>
  <c r="O35" i="35" s="1"/>
  <c r="P35" i="35" s="1"/>
  <c r="F35" i="42"/>
  <c r="O35" i="42" s="1"/>
  <c r="P35" i="42" s="1"/>
  <c r="O359" i="33"/>
  <c r="D361" i="31"/>
  <c r="R70" i="47"/>
  <c r="O336" i="33" l="1"/>
  <c r="D21" i="32"/>
  <c r="D24" i="32"/>
  <c r="D11" i="32"/>
  <c r="D18" i="32"/>
  <c r="D26" i="32"/>
  <c r="H360" i="32"/>
  <c r="H361" i="32" s="1"/>
  <c r="F26" i="47"/>
  <c r="F26" i="35"/>
  <c r="F35" i="47"/>
  <c r="O35" i="47" s="1"/>
  <c r="P35" i="47" s="1"/>
  <c r="F26" i="42"/>
  <c r="O26" i="42" s="1"/>
  <c r="R35" i="35"/>
  <c r="P28" i="35"/>
  <c r="R35" i="42"/>
  <c r="P28" i="42"/>
  <c r="D23" i="32"/>
  <c r="D16" i="32"/>
  <c r="C331" i="32"/>
  <c r="F331" i="47" s="1"/>
  <c r="D17" i="32"/>
  <c r="D25" i="32"/>
  <c r="D15" i="32"/>
  <c r="D10" i="32"/>
  <c r="D12" i="32"/>
  <c r="D19" i="32"/>
  <c r="D6" i="32"/>
  <c r="D14" i="32"/>
  <c r="D4" i="32"/>
  <c r="D20" i="32"/>
  <c r="D8" i="32"/>
  <c r="D13" i="32"/>
  <c r="F2" i="47"/>
  <c r="F2" i="42"/>
  <c r="O2" i="42" s="1"/>
  <c r="P9" i="42" s="1"/>
  <c r="F2" i="35"/>
  <c r="D3" i="32"/>
  <c r="P360" i="33" l="1"/>
  <c r="P339" i="33"/>
  <c r="P346" i="33"/>
  <c r="P350" i="33"/>
  <c r="P352" i="33"/>
  <c r="P354" i="33"/>
  <c r="P358" i="33"/>
  <c r="P343" i="33"/>
  <c r="P344" i="33"/>
  <c r="P351" i="33"/>
  <c r="P353" i="33"/>
  <c r="P338" i="33"/>
  <c r="P348" i="33"/>
  <c r="P357" i="33"/>
  <c r="P355" i="33"/>
  <c r="P356" i="33"/>
  <c r="P340" i="33"/>
  <c r="P342" i="33"/>
  <c r="P337" i="33"/>
  <c r="P341" i="33"/>
  <c r="P347" i="33"/>
  <c r="P349" i="33"/>
  <c r="P345" i="33"/>
  <c r="P359" i="33"/>
  <c r="P18" i="42"/>
  <c r="P24" i="42"/>
  <c r="R35" i="47"/>
  <c r="P28" i="47"/>
  <c r="R28" i="47" s="1"/>
  <c r="P21" i="42"/>
  <c r="P11" i="42"/>
  <c r="P26" i="42"/>
  <c r="F331" i="35"/>
  <c r="F331" i="42"/>
  <c r="O331" i="42" s="1"/>
  <c r="O335" i="42" s="1"/>
  <c r="P25" i="42"/>
  <c r="P17" i="42"/>
  <c r="P20" i="42"/>
  <c r="P23" i="42"/>
  <c r="P19" i="42"/>
  <c r="F340" i="47"/>
  <c r="F362" i="47" s="1"/>
  <c r="F340" i="42"/>
  <c r="F340" i="35"/>
  <c r="C335" i="32"/>
  <c r="F335" i="47" s="1"/>
  <c r="P8" i="42"/>
  <c r="P16" i="42"/>
  <c r="P6" i="42"/>
  <c r="P4" i="42"/>
  <c r="P15" i="42"/>
  <c r="P10" i="42"/>
  <c r="P14" i="42"/>
  <c r="P13" i="42"/>
  <c r="P12" i="42"/>
  <c r="P3" i="42"/>
  <c r="D2" i="32"/>
  <c r="P336" i="33" l="1"/>
  <c r="C361" i="32"/>
  <c r="F335" i="35"/>
  <c r="F335" i="42"/>
  <c r="P2" i="42"/>
  <c r="P335" i="42"/>
  <c r="R335" i="42" s="1"/>
  <c r="O361" i="42"/>
  <c r="P361" i="42" s="1"/>
  <c r="F344" i="42"/>
  <c r="F344" i="35"/>
  <c r="D335" i="32"/>
  <c r="G28" i="32" l="1"/>
  <c r="F361" i="47"/>
  <c r="D361" i="32"/>
  <c r="F361" i="42"/>
  <c r="F361" i="35"/>
  <c r="C101" i="35" l="1"/>
  <c r="O101" i="35" s="1"/>
  <c r="P101" i="35" s="1"/>
  <c r="R101" i="35" s="1"/>
  <c r="C101" i="47"/>
  <c r="O101" i="47" s="1"/>
  <c r="P101" i="47" s="1"/>
  <c r="R101" i="47" s="1"/>
  <c r="C101" i="33"/>
  <c r="O101" i="33" s="1"/>
  <c r="P101" i="33" s="1"/>
  <c r="R101" i="33" s="1"/>
  <c r="C100" i="1"/>
  <c r="C100" i="35" s="1"/>
  <c r="O100" i="35" s="1"/>
  <c r="P100" i="35" s="1"/>
  <c r="R100" i="35" s="1"/>
  <c r="D101" i="1"/>
  <c r="C236" i="1" l="1"/>
  <c r="C236" i="33" s="1"/>
  <c r="D100" i="1"/>
  <c r="C100" i="47"/>
  <c r="O100" i="47" s="1"/>
  <c r="P100" i="47" s="1"/>
  <c r="R100" i="47" s="1"/>
  <c r="C100" i="33"/>
  <c r="O100" i="33" s="1"/>
  <c r="P100" i="33" s="1"/>
  <c r="R100" i="33" s="1"/>
  <c r="C333" i="1" l="1"/>
  <c r="C236" i="35"/>
  <c r="C237" i="1"/>
  <c r="D237" i="1" s="1"/>
  <c r="C236" i="47"/>
  <c r="D236" i="1"/>
  <c r="C334" i="1"/>
  <c r="C333" i="33"/>
  <c r="C333" i="35"/>
  <c r="C335" i="1"/>
  <c r="C333" i="47"/>
  <c r="D333" i="1"/>
  <c r="C237" i="33" l="1"/>
  <c r="C237" i="47"/>
  <c r="C237" i="35"/>
  <c r="C334" i="33"/>
  <c r="D334" i="1"/>
  <c r="C334" i="47"/>
  <c r="C334" i="35"/>
  <c r="C335" i="35"/>
  <c r="D335" i="1"/>
  <c r="C335" i="33"/>
  <c r="C361" i="1"/>
  <c r="C361" i="33" s="1"/>
  <c r="C335" i="47"/>
  <c r="C26" i="30" l="1"/>
  <c r="C361" i="35"/>
  <c r="C361" i="47"/>
  <c r="D361" i="1"/>
  <c r="G30" i="1"/>
  <c r="D26" i="33" l="1"/>
  <c r="O26" i="33" s="1"/>
  <c r="P26" i="33" s="1"/>
  <c r="P2" i="33" s="1"/>
  <c r="D26" i="35"/>
  <c r="D26" i="47"/>
  <c r="O26" i="47" s="1"/>
  <c r="P26" i="47" s="1"/>
  <c r="D26" i="30"/>
  <c r="D2" i="30" s="1"/>
  <c r="D146" i="35" l="1"/>
  <c r="O146" i="35" s="1"/>
  <c r="P146" i="35" s="1"/>
  <c r="R146" i="35" s="1"/>
  <c r="D146" i="33"/>
  <c r="O146" i="33" s="1"/>
  <c r="P146" i="33" s="1"/>
  <c r="R146" i="33" s="1"/>
  <c r="D146" i="47"/>
  <c r="O146" i="47" s="1"/>
  <c r="P146" i="47" s="1"/>
  <c r="R146" i="47" s="1"/>
  <c r="C145" i="30"/>
  <c r="D145" i="30" s="1"/>
  <c r="C236" i="30"/>
  <c r="D236" i="35" s="1"/>
  <c r="O236" i="35" s="1"/>
  <c r="P236" i="35" s="1"/>
  <c r="R236" i="35" s="1"/>
  <c r="D146" i="30"/>
  <c r="C333" i="30" l="1"/>
  <c r="D236" i="30"/>
  <c r="D145" i="47"/>
  <c r="O145" i="47" s="1"/>
  <c r="P145" i="47" s="1"/>
  <c r="R145" i="47" s="1"/>
  <c r="D145" i="33"/>
  <c r="O145" i="33" s="1"/>
  <c r="P145" i="33" s="1"/>
  <c r="R145" i="33" s="1"/>
  <c r="D145" i="35"/>
  <c r="O145" i="35" s="1"/>
  <c r="P145" i="35" s="1"/>
  <c r="R145" i="35" s="1"/>
  <c r="C237" i="30"/>
  <c r="D236" i="33"/>
  <c r="O236" i="33" s="1"/>
  <c r="P236" i="33" s="1"/>
  <c r="R236" i="33" s="1"/>
  <c r="D236" i="47"/>
  <c r="O236" i="47" s="1"/>
  <c r="P236" i="47" s="1"/>
  <c r="R236" i="47" s="1"/>
  <c r="C335" i="30" l="1"/>
  <c r="C361" i="30" s="1"/>
  <c r="D333" i="33"/>
  <c r="O333" i="33" s="1"/>
  <c r="D333" i="35"/>
  <c r="O333" i="35" s="1"/>
  <c r="D333" i="47"/>
  <c r="O333" i="47" s="1"/>
  <c r="C334" i="30"/>
  <c r="D333" i="30"/>
  <c r="D237" i="33"/>
  <c r="O237" i="33" s="1"/>
  <c r="P237" i="33" s="1"/>
  <c r="R237" i="33" s="1"/>
  <c r="D237" i="47"/>
  <c r="O237" i="47" s="1"/>
  <c r="P237" i="47" s="1"/>
  <c r="R237" i="47" s="1"/>
  <c r="D237" i="35"/>
  <c r="O237" i="35" s="1"/>
  <c r="P237" i="35" s="1"/>
  <c r="R237" i="35" s="1"/>
  <c r="D237" i="30"/>
  <c r="D361" i="33" l="1"/>
  <c r="G32" i="30"/>
  <c r="D335" i="33"/>
  <c r="D335" i="47"/>
  <c r="D335" i="30"/>
  <c r="D335" i="35"/>
  <c r="O335" i="47"/>
  <c r="P333" i="47"/>
  <c r="R333" i="47" s="1"/>
  <c r="P333" i="35"/>
  <c r="R333" i="35" s="1"/>
  <c r="O335" i="35"/>
  <c r="D334" i="35"/>
  <c r="O334" i="35" s="1"/>
  <c r="P334" i="35" s="1"/>
  <c r="R334" i="35" s="1"/>
  <c r="D334" i="47"/>
  <c r="O334" i="47" s="1"/>
  <c r="D334" i="33"/>
  <c r="O334" i="33" s="1"/>
  <c r="P334" i="33" s="1"/>
  <c r="R334" i="33" s="1"/>
  <c r="D334" i="30"/>
  <c r="P333" i="33"/>
  <c r="R333" i="33" s="1"/>
  <c r="O335" i="33"/>
  <c r="O361" i="33" l="1"/>
  <c r="P361" i="33" s="1"/>
  <c r="P335" i="33"/>
  <c r="R335" i="33" s="1"/>
  <c r="O361" i="47"/>
  <c r="P361" i="47" s="1"/>
  <c r="P335" i="47"/>
  <c r="R335" i="47" s="1"/>
  <c r="P334" i="47"/>
  <c r="R334" i="47" s="1"/>
  <c r="S335" i="47"/>
  <c r="O361" i="35"/>
  <c r="P361" i="35" s="1"/>
  <c r="P335" i="35"/>
  <c r="R335" i="35" s="1"/>
  <c r="D361" i="47"/>
  <c r="D361" i="30"/>
  <c r="D361" i="35"/>
</calcChain>
</file>

<file path=xl/sharedStrings.xml><?xml version="1.0" encoding="utf-8"?>
<sst xmlns="http://schemas.openxmlformats.org/spreadsheetml/2006/main" count="936" uniqueCount="329">
  <si>
    <t>Receita Operacional Bruta</t>
  </si>
  <si>
    <t>Saldo Inicial Conta Movimento</t>
  </si>
  <si>
    <t xml:space="preserve">3.1. DESPESA COM VENDAS   </t>
  </si>
  <si>
    <t>3.2. FUNCIONÁRIO</t>
  </si>
  <si>
    <t>3.3. ENCARGOS TRABALHISTAS</t>
  </si>
  <si>
    <t>3.4. ADMINISTRATIVAS</t>
  </si>
  <si>
    <t>3.6. DESPESAS BANCÁRIAS</t>
  </si>
  <si>
    <t>3.7. VEICULOS</t>
  </si>
  <si>
    <t>3.8. PATROCÍNIO / BONIFICAÇÕES</t>
  </si>
  <si>
    <t>2.3. Impostos</t>
  </si>
  <si>
    <t>2.2. Inadimplência e Perdas</t>
  </si>
  <si>
    <t>Despesas Não Operacional</t>
  </si>
  <si>
    <t>3.5. DESPESAS FIXAS</t>
  </si>
  <si>
    <t>Total Despesas Operac. e Não Operac.</t>
  </si>
  <si>
    <t>Total Receitas Operac. e Não Operac.</t>
  </si>
  <si>
    <t>Saldo Operacional Liquido</t>
  </si>
  <si>
    <t xml:space="preserve">Saldo Liquido Ajustado  </t>
  </si>
  <si>
    <t xml:space="preserve">Saldo Liquido Final  </t>
  </si>
  <si>
    <t xml:space="preserve">Total dos Custos </t>
  </si>
  <si>
    <t>Total das Despesas Não Operacional</t>
  </si>
  <si>
    <t>Total das Despesas Operacionais</t>
  </si>
  <si>
    <t>Total Receitas Operacionais / Vendas</t>
  </si>
  <si>
    <t>2.1. Despesa Com Custo de Aquisição</t>
  </si>
  <si>
    <t xml:space="preserve">3.4.12. Equipe de Cobrança </t>
  </si>
  <si>
    <t xml:space="preserve">3.4.16. Pro labore </t>
  </si>
  <si>
    <t>Mês</t>
  </si>
  <si>
    <t>Nº</t>
  </si>
  <si>
    <t>Média Janeiro</t>
  </si>
  <si>
    <t>Média Fevereiro</t>
  </si>
  <si>
    <t>Média Março</t>
  </si>
  <si>
    <t>Média Abril</t>
  </si>
  <si>
    <t>Média Maio</t>
  </si>
  <si>
    <t>Mádia Junho</t>
  </si>
  <si>
    <t xml:space="preserve">3.1.01. Marketing e Propaganda </t>
  </si>
  <si>
    <t>3.2.04. Auxilio Combustível</t>
  </si>
  <si>
    <t>3.4.01. Supermercado/Padaria/Farmácia</t>
  </si>
  <si>
    <t>3.4.02. Material Administrativo de Expediente</t>
  </si>
  <si>
    <t>3.4.04. Cartório</t>
  </si>
  <si>
    <t>3.5.01. Conta de Água</t>
  </si>
  <si>
    <t xml:space="preserve">3.5.02. Conta de Energia </t>
  </si>
  <si>
    <t>3.5.05. Aluguel Predial</t>
  </si>
  <si>
    <t>3.5.06. Aluguel Maquina de Cartão</t>
  </si>
  <si>
    <t>3.5.07. Empresa de Vigilância e Monitoramento</t>
  </si>
  <si>
    <t>3.5.09. Sindicato Patronal / Entidades de apoio Comercio/Indus</t>
  </si>
  <si>
    <t>3.6.02. IOF</t>
  </si>
  <si>
    <t>3.7.01. Combustível e Lubrificantes</t>
  </si>
  <si>
    <t xml:space="preserve">3.7.02. Manutenção Veicular </t>
  </si>
  <si>
    <t xml:space="preserve">3.7.03. IPVA e outras taxas </t>
  </si>
  <si>
    <t>3.7.04. Multa</t>
  </si>
  <si>
    <t>1.1. Receita com Vendas</t>
  </si>
  <si>
    <t>Janeiro</t>
  </si>
  <si>
    <t>Disponíveis nas Contas Movimento</t>
  </si>
  <si>
    <t>Disponíveis Nas Contas Movimento</t>
  </si>
  <si>
    <t>3.4.17. Multas Administrativas e trabalhistas</t>
  </si>
  <si>
    <t>3.4.03. Correios/Gollog/Latam Cargas</t>
  </si>
  <si>
    <t>1.5. Receita de Garantias</t>
  </si>
  <si>
    <t>3.1.02. Promoções e Eventos(Brindes/Café da Manhã p clientes/etc)</t>
  </si>
  <si>
    <t>3.1.07. TAXAS C/ CART CRÉD/DÉBIT</t>
  </si>
  <si>
    <t>3.1.03. Sacolas e Embalagens</t>
  </si>
  <si>
    <t>Receitas Não Operacionais Totais</t>
  </si>
  <si>
    <t>% Acum no Ano Comparação</t>
  </si>
  <si>
    <t>Fevereiro</t>
  </si>
  <si>
    <t>Março</t>
  </si>
  <si>
    <t>Abril</t>
  </si>
  <si>
    <t>Maio</t>
  </si>
  <si>
    <t>Junho</t>
  </si>
  <si>
    <t>Total</t>
  </si>
  <si>
    <t xml:space="preserve">*SEM MARCAÇÃO </t>
  </si>
  <si>
    <t>*CLIENTE AVULSO</t>
  </si>
  <si>
    <t>DINHEIRO</t>
  </si>
  <si>
    <t>FATURAMENTO</t>
  </si>
  <si>
    <t>FECHAMENTO CAIXA</t>
  </si>
  <si>
    <t>RECEBIMENTO</t>
  </si>
  <si>
    <t>REF</t>
  </si>
  <si>
    <t>SANGRIA VINDO DO CAIXA</t>
  </si>
  <si>
    <t>VENDA</t>
  </si>
  <si>
    <t>SUPRIMENTO ( - )</t>
  </si>
  <si>
    <t>Crédito</t>
  </si>
  <si>
    <t>Devolução -</t>
  </si>
  <si>
    <t>Julho</t>
  </si>
  <si>
    <t>Agosto</t>
  </si>
  <si>
    <t>Setembro</t>
  </si>
  <si>
    <t>Outubro</t>
  </si>
  <si>
    <t>Novembro</t>
  </si>
  <si>
    <t>Dezembro</t>
  </si>
  <si>
    <t>3.4.10. Taxas Administrativas (Alvará de Funcio, taxas)</t>
  </si>
  <si>
    <t>3.1.05. Comissão Representente Comercial</t>
  </si>
  <si>
    <t>3.1.08. Serviço Motoboy Entrega Vendas</t>
  </si>
  <si>
    <t>3.2.10. Férias</t>
  </si>
  <si>
    <t xml:space="preserve">3.2.03. Auxilio Alimentação/Refeição </t>
  </si>
  <si>
    <t>3.2.06. Confraternização e premiação</t>
  </si>
  <si>
    <t>3.2.07. Viagens e Estadias Funcionarios</t>
  </si>
  <si>
    <t>3.2.05. Seguro de Vida Funcionarios</t>
  </si>
  <si>
    <t>3.2.08. Treinamento e Cursos</t>
  </si>
  <si>
    <t>3.2.09. Ajuda de Custo Faculdade/Pós Graduação</t>
  </si>
  <si>
    <t>3.2.12. Vale Transporte</t>
  </si>
  <si>
    <t>3.2.13. FGTS</t>
  </si>
  <si>
    <t xml:space="preserve">3.2.14. INSS/GPS </t>
  </si>
  <si>
    <t>3.2.15. Contribuição Sindical</t>
  </si>
  <si>
    <t xml:space="preserve">3.2.16. Rescisão Trabalhista </t>
  </si>
  <si>
    <t xml:space="preserve">3.2.17. Seleção e Contratação </t>
  </si>
  <si>
    <t>3.2.18. ASO</t>
  </si>
  <si>
    <t>3.2.19. IRRF S/ Salário</t>
  </si>
  <si>
    <t>3.2.22. Adiantamento de 13º Salário</t>
  </si>
  <si>
    <t>3.2.21. Uniformes e EPI</t>
  </si>
  <si>
    <t>3.2.23. Decimo Terceiro Integral</t>
  </si>
  <si>
    <t>3.3.01. Aquisição Equipamento Informa. Não Imobilizavel</t>
  </si>
  <si>
    <t>3.3.04. Mensalidade Programa de Tecnologia Informatica</t>
  </si>
  <si>
    <t>3.3.07. Locação Equipamento Informatica</t>
  </si>
  <si>
    <t>3.3.09. Viagens e Estadias - CPD</t>
  </si>
  <si>
    <t>3.4.07. Diária de Prestador de Serviço</t>
  </si>
  <si>
    <t>3.4.08. Consultoria (RH/Empresarial/Contábil/Etc)</t>
  </si>
  <si>
    <t>3.4.09. Honorarios Advogado</t>
  </si>
  <si>
    <t>3.4.14. Consulta de crédito SPC/Serasa</t>
  </si>
  <si>
    <t>3.4.15. Frete Compra de Material Uso e Consumo</t>
  </si>
  <si>
    <t>3.4.19. Contribuições e Doações</t>
  </si>
  <si>
    <t>3.5.10. Honorarios Contabilidade</t>
  </si>
  <si>
    <t xml:space="preserve">3.6.01. Tarifas Bancárias </t>
  </si>
  <si>
    <t>3.6.15. IRRF Sobre Aplicação Financeira</t>
  </si>
  <si>
    <t>3.7.05. Despesas com Estacionamento</t>
  </si>
  <si>
    <t>3.7.06. Aluguel de Veículo</t>
  </si>
  <si>
    <t>3.7.08. Seguro Veicular</t>
  </si>
  <si>
    <t>3.8.05. IR</t>
  </si>
  <si>
    <t>3.8.06. CSLL</t>
  </si>
  <si>
    <t>3.8.07. IPTU</t>
  </si>
  <si>
    <t>3.8.11. IRRF S/ SERVIÇO DE TERCEIRO</t>
  </si>
  <si>
    <t>3.8.16. CRF Sobre Serviço</t>
  </si>
  <si>
    <t>3.4.11. Despesa com Processos Judiciais</t>
  </si>
  <si>
    <t>3.4.13. Seguradora Predial / Equipamento</t>
  </si>
  <si>
    <t>3.5.03. Conta de Telefone Fixo/Internet</t>
  </si>
  <si>
    <t>3.5.04. Conta de Celular</t>
  </si>
  <si>
    <t xml:space="preserve">2.3.02.IRPJ (SE ESTIVER NO CMV) </t>
  </si>
  <si>
    <t xml:space="preserve">2.3.03.CSSL (SE ESTIVER NO CMV) </t>
  </si>
  <si>
    <t>3.1.04.DIARIAS E DESPESAS COM VENDEDOR (passagem ônibus, hotel. Etc)</t>
  </si>
  <si>
    <t xml:space="preserve">300. Despesas Operac. Fixas e Variáveis </t>
  </si>
  <si>
    <t>3.4.18. Seguro Prestamista - Variavel (Emprestimo)</t>
  </si>
  <si>
    <t>3.6.05.MULTA E JUROS DE MORA PAGAMENTO</t>
  </si>
  <si>
    <t>3.6.07.FALTA ACERTO CAIXA</t>
  </si>
  <si>
    <t>3.6.09.RECUPERACAO DE CRED DEVEDOR DUV</t>
  </si>
  <si>
    <t>3.6.10.DESCONTOS OBTIDOS</t>
  </si>
  <si>
    <t xml:space="preserve">3.8.03.ICMS-DIFERENCIAL DE ALIQUOTA </t>
  </si>
  <si>
    <t>3.8.08.OUTROS TRIBUTOS MUNICIPAIS</t>
  </si>
  <si>
    <t>3.8.09.OUTROS TRIBUTOS ESTADUAIS</t>
  </si>
  <si>
    <t>3.8.10.OUTROS TRIBUTOS FEDERAIS</t>
  </si>
  <si>
    <t>3.8.12.MULTA S/ INFRACOES FISCAIS</t>
  </si>
  <si>
    <t>3.8.13.MULTA ATRASO PAGTO TRIBUTOS</t>
  </si>
  <si>
    <t>3.7.09.PEDAGIO E TRAVESSIA DE BALSA</t>
  </si>
  <si>
    <t>3.1.09. PGTO DISTRATO REPRES COMERCIAL</t>
  </si>
  <si>
    <t>3.6.16.DESCONTOS FINANCEIROS</t>
  </si>
  <si>
    <t>Disponíveis Nas Contas Movimento inicial</t>
  </si>
  <si>
    <t>3.6.03. Perdas e Devedores Duvidosos</t>
  </si>
  <si>
    <t>ABRIL</t>
  </si>
  <si>
    <t>MAIO</t>
  </si>
  <si>
    <t>JUNHO</t>
  </si>
  <si>
    <t>JULHO</t>
  </si>
  <si>
    <t>AGOSTO</t>
  </si>
  <si>
    <t>SETEMBRO</t>
  </si>
  <si>
    <t>OUTUBRO</t>
  </si>
  <si>
    <t>3.4.20. Aquisi. Equipam. ADM não Imobilizavel</t>
  </si>
  <si>
    <t>3.6.17.JUROS DESCONTO DE BOLETOS</t>
  </si>
  <si>
    <t xml:space="preserve">Diferença entre N/OP </t>
  </si>
  <si>
    <t>Lucro apurado nos 6 primeiros meses de 2021</t>
  </si>
  <si>
    <t>NOVEMBRO</t>
  </si>
  <si>
    <t>Lucro usado para pagar Diferença + Acumulação de 24 mil</t>
  </si>
  <si>
    <t>Sobra de lucro</t>
  </si>
  <si>
    <t>Estoque 458+ Contas a Receber 738 - Divida for -248</t>
  </si>
  <si>
    <t>Total ano</t>
  </si>
  <si>
    <t>DEZEMBRO</t>
  </si>
  <si>
    <t>Coluna1</t>
  </si>
  <si>
    <t xml:space="preserve">1.1.01. Receita em Dinheiro </t>
  </si>
  <si>
    <t>1.1.01. Receita em Cartão (Crédito e Débito)</t>
  </si>
  <si>
    <t>1.1.01. Receita de Cheque A Vista</t>
  </si>
  <si>
    <t xml:space="preserve">1.1.01. Receita de Cheque Pré </t>
  </si>
  <si>
    <t>1.1.01. Recebimento de Carteira (Notinha)</t>
  </si>
  <si>
    <t>1.1.01. Recebimento de Boletos</t>
  </si>
  <si>
    <t>1.1.02. Recebimento Cheque Devolvido</t>
  </si>
  <si>
    <t>3.2.02. Adiantamento Salários/Vales</t>
  </si>
  <si>
    <t>4.1. Receita de Empréstimo</t>
  </si>
  <si>
    <t>4.1.01 Bancário</t>
  </si>
  <si>
    <t>4.1.02 Financiamento</t>
  </si>
  <si>
    <t>4.1.03 Entre Lojas do Grupo</t>
  </si>
  <si>
    <t>4.1.04 Pessoa Física</t>
  </si>
  <si>
    <t>4.2.06 Rendimentos CDB/Fundos/Alugueis</t>
  </si>
  <si>
    <t>4.2.05 Venda de Ativo Imobilizado</t>
  </si>
  <si>
    <t xml:space="preserve">4.2.04 Resgate de Consórcio </t>
  </si>
  <si>
    <t xml:space="preserve">4.2.03 Resgate de Titulo de Capitalização </t>
  </si>
  <si>
    <t xml:space="preserve">4.2.02 Venda de Veículos </t>
  </si>
  <si>
    <t>4.2.01 Venda de Imóveis/terrenos</t>
  </si>
  <si>
    <t>4.2. Receita de Investimento</t>
  </si>
  <si>
    <t>4.3. Receitas Financeiras</t>
  </si>
  <si>
    <t>4.3.01. JUROS E MULTAS RECEBIDOS</t>
  </si>
  <si>
    <t>4.3.02. SOBRA ACERTO CAIXA</t>
  </si>
  <si>
    <t>4.3.03. DESCONTOS OBTIDOS</t>
  </si>
  <si>
    <t>4.3.04. OUTRAS RECEITAS FINANCEIRAS</t>
  </si>
  <si>
    <t>4.3.05. RECEITA DE BRINDE E EXPOSITORES</t>
  </si>
  <si>
    <t>4.3.07. RECEITA NÃO IDENTIFICADA</t>
  </si>
  <si>
    <t>5.1.02. FINANCIAMENTO</t>
  </si>
  <si>
    <t>5.1. EMPRESTIMO / FINANCIAMENTO</t>
  </si>
  <si>
    <t>5.1.03. ENTRE EMPRESAS DO MESMO GRUPO</t>
  </si>
  <si>
    <t>5.1.04. PESSOA FISICA</t>
  </si>
  <si>
    <t>5.1.01. BANCARIOS</t>
  </si>
  <si>
    <t>5.2 DESPESA COM INVESTIMENTO</t>
  </si>
  <si>
    <t>5.2.01. IMÓVEIS</t>
  </si>
  <si>
    <t>5.2.02. CONSTRUCAO E AMPLIAÇÕES EXTRUTURA</t>
  </si>
  <si>
    <t>5.2.03. LEASING</t>
  </si>
  <si>
    <t>5.2.04. COMPRA DE TERRENOS</t>
  </si>
  <si>
    <t>5.2.06. AQUISICAO TITULO DE CAPITALIZACAO</t>
  </si>
  <si>
    <t>5.2.07. CONSORCIOS</t>
  </si>
  <si>
    <t>5.2.08. INVESTIM NOVAS EMPRESAS E FILIAIS</t>
  </si>
  <si>
    <t>5.2.14. FRETE COMPRA ATIVO IMOBILIZADO</t>
  </si>
  <si>
    <t>5.2.15. AQUISICAO DE NOVO SOFTWARE INFORMATICA</t>
  </si>
  <si>
    <t>5.2.16. PARTICIPACAO SOCIEDADE COOPERATI</t>
  </si>
  <si>
    <t>5.2.17. DEVOLUÇÃO DE CAPITAL INVESTIDO</t>
  </si>
  <si>
    <t>5.3. INVESTIMENTO EM IMOBILIZADOS</t>
  </si>
  <si>
    <t>5.4. DISTRIBUIÇÃO DE LUCROS E RESULTADOS</t>
  </si>
  <si>
    <t>5.4.02.COMBUST E LUBRIFICANT - DIRETORIA</t>
  </si>
  <si>
    <t>5.4.01.DISTRIBUICAO DE LUCROS SOCIOS</t>
  </si>
  <si>
    <t>5.4.03.VIAGENS E ESTADAS - DIRETORIA</t>
  </si>
  <si>
    <t>5.4.04.DISTRIBUIÇÃO DE LUCROS E RESULTADOS</t>
  </si>
  <si>
    <t>3.9.02.BONIFICAÇÃO EM PRODUTOS</t>
  </si>
  <si>
    <t>3.9.01.PATROCÍNIO  EM DINHEIRO</t>
  </si>
  <si>
    <t>3.2. DESPESA COM FUNCIONÁRIO</t>
  </si>
  <si>
    <t>3.3. DESPESAS INFORMATICA</t>
  </si>
  <si>
    <t>3.6. DESPESAS FINANCEIRAS</t>
  </si>
  <si>
    <t>3.8. IMPOSTOS ADMINISTRATIVOS</t>
  </si>
  <si>
    <t>3.9. PATROCINIO / BONIFICAÇÃO</t>
  </si>
  <si>
    <t>3.3.05. MANUT E REPAROS EM EQUIPAME. INFORMATI</t>
  </si>
  <si>
    <t>3.6.14. JUROS ANTEC. CARTÕES CRED/DEBITO</t>
  </si>
  <si>
    <t>1.2.01. RECEITA EM DINHEIRO</t>
  </si>
  <si>
    <t xml:space="preserve">1.2.02. RECEITA EM MERCADORIA </t>
  </si>
  <si>
    <t>1.1.01. Recebimento em Depósito e Dep. PIX</t>
  </si>
  <si>
    <t>Valor principal</t>
  </si>
  <si>
    <t>Multa</t>
  </si>
  <si>
    <t>Juros</t>
  </si>
  <si>
    <t>Mês 11/2022</t>
  </si>
  <si>
    <t>Mês 12/2022</t>
  </si>
  <si>
    <t>Mês 01/2023</t>
  </si>
  <si>
    <t>Mês 02/2023</t>
  </si>
  <si>
    <t>Mês 03/2023</t>
  </si>
  <si>
    <t>3.5.10.01. DECIMO TERCEIRO CONTABILIDADE</t>
  </si>
  <si>
    <t>0,00%</t>
  </si>
  <si>
    <t>4.2.07 Resgate de Capital Social</t>
  </si>
  <si>
    <t>3.6.08. Juros Sobre Emprestimos</t>
  </si>
  <si>
    <t>Terou</t>
  </si>
  <si>
    <t>Brades</t>
  </si>
  <si>
    <t>Bol Brad</t>
  </si>
  <si>
    <t>Matriz</t>
  </si>
  <si>
    <t>2.3.07. SUBSTITUIÇÃO TRIBUTARIA SAÍDA (TARE)</t>
  </si>
  <si>
    <t>Aumento de Estoque em R$</t>
  </si>
  <si>
    <t xml:space="preserve">2.3.11. Impostos Parcelado </t>
  </si>
  <si>
    <t>3.1.06. Frete com entrega de vendas</t>
  </si>
  <si>
    <t>3.4.06. Manutenção/ reforma/ reparos</t>
  </si>
  <si>
    <t>3.2.01. Salário (CLT)</t>
  </si>
  <si>
    <t>3.7. DESPESAS COM VEICULOS</t>
  </si>
  <si>
    <t>2.1.01.FORNECEDORES DE MERCADORIAS REVENDA</t>
  </si>
  <si>
    <t>2.1.02.ADIANT. FORNEC. MERCA. REVENDA</t>
  </si>
  <si>
    <t>2.1.03.TRANSPORTADORA MERCA. REVENDA</t>
  </si>
  <si>
    <t>2.1.04.OUTROS CUSTOS DE MERC.REVENDA</t>
  </si>
  <si>
    <t>2.1.05.TRANSFE DE MERCAD REVENDA MATRIZ</t>
  </si>
  <si>
    <t>2.3.04.COFINS (SE ESTIVER NO CMV)</t>
  </si>
  <si>
    <t>2.3.05.PIS (SE ESTIVER NO CMV)</t>
  </si>
  <si>
    <t>2.3.06.ICMS – Normal (SE ESTIVER NO CMV)</t>
  </si>
  <si>
    <t>3.3.08. Transmissão de Dados Servidor</t>
  </si>
  <si>
    <t>4.3.09. PATROCÍNIO  EM DINHEIRO</t>
  </si>
  <si>
    <t>4.3.10. BONIFICAÇÃO EM PRODUTOS</t>
  </si>
  <si>
    <t>5.3.01.MOVEIS E UTENSI. IMOBILIZADOS</t>
  </si>
  <si>
    <t>5.3.02.MAQUINAS E EQUIPAM. IMOBILIZADOS</t>
  </si>
  <si>
    <t>5.3.03.EQUIP. INFORMATICA IMOBILIZADOS</t>
  </si>
  <si>
    <t>5.3.05.AQUISICAO DE VEICU PESADO-IMOB</t>
  </si>
  <si>
    <t>5.3.06.AQUISICAO DE OUTROS VEICUL-IMOB</t>
  </si>
  <si>
    <t>2.3.09.FUNDO DESENVOLVIMENTO ECONOMICO (TARE)</t>
  </si>
  <si>
    <t>3.2.11. Auxilio Saúde e Odontológico</t>
  </si>
  <si>
    <t>3.3.06. Manutenção Sitemas e Softwares</t>
  </si>
  <si>
    <t>3.7.07.RASTREAMENTO POR GPS</t>
  </si>
  <si>
    <t>Filia Porto</t>
  </si>
  <si>
    <t>3.6.12.JUROS DESCONTO DE BOLETOS</t>
  </si>
  <si>
    <t xml:space="preserve">4.2.08.INVESTIMENTO EMPRESAS DO MESMO </t>
  </si>
  <si>
    <t>4.2.09.APORTE DE CAPITAL SOCIAL</t>
  </si>
  <si>
    <t>Fluxo de Caixa 2025 CTR</t>
  </si>
  <si>
    <t>% ACUMULADO  2º SEMEST 2025</t>
  </si>
  <si>
    <t>1.2-BRADESCO 15232-3 MATRIZ</t>
  </si>
  <si>
    <t>1.1 - BANCO DO BRASIL C.C.60409-7 MATRIZ</t>
  </si>
  <si>
    <t>1.4 - BANCO DA AMAZONIA 071730-7 MATRIZ</t>
  </si>
  <si>
    <t>1.9 - CONTA PERDA/ROUBO/BONIFICAÇÃO E DOAÇÃO</t>
  </si>
  <si>
    <t>4.1 -  BANCO DO BRASIL C.C.61105-0 FILIAL PORTO</t>
  </si>
  <si>
    <t>1.0 - TESOURARIA MATRIZ PALMAS</t>
  </si>
  <si>
    <t>4.0 - TESOURARIA FILIAL PORTO</t>
  </si>
  <si>
    <t>4.9 - CONTA PERDA/ROUBO E BONIFICAÇÃO FILIAL</t>
  </si>
  <si>
    <t>4.4 - MERCADO PAGO PIX FILIAL PORTO</t>
  </si>
  <si>
    <t>91.CARTÃO ENDERED 5099+4596+6933+8072 - ESCRITORIO</t>
  </si>
  <si>
    <t>3.2.20. Despesa com Terceirizado</t>
  </si>
  <si>
    <t>2.1 - BANCO DO BRASIL C.C.60638-3 FILIAL PALMAS</t>
  </si>
  <si>
    <t>2.9 - CONTA PERDA/ROUBO E BONIFICAÇÃO FILIAL</t>
  </si>
  <si>
    <t>1.5 -  ITAU C.C.98671-6 MATRIZ</t>
  </si>
  <si>
    <t>Filia Palmas</t>
  </si>
  <si>
    <t>2.2.02.BOLETOS DESCONTADOS DEVOLVIDOS</t>
  </si>
  <si>
    <t>2.2.03.CHEQUES DEVOLVIDOS</t>
  </si>
  <si>
    <t>2.2.04.BOLETOS DESCONTADOS DEVOLVIDOS</t>
  </si>
  <si>
    <t>2.2.05.PERDA,  ROUBO  E  DETERIORAÇÃO</t>
  </si>
  <si>
    <t>2.2.01.CONTAS PERDIDAS/NÃO PAGAS</t>
  </si>
  <si>
    <t>2.4 - ITAU C.C.98669-0 FILIAL PALMAS</t>
  </si>
  <si>
    <t>3.1.10. TARIFA PIX RECEBIDO</t>
  </si>
  <si>
    <t>3.3.03. Consultoria de TI</t>
  </si>
  <si>
    <t>Fluxo de Caixa 2026 CTR</t>
  </si>
  <si>
    <t>% ACUMULADO JAN/2026</t>
  </si>
  <si>
    <t>% ACUMULADO FEV/2026</t>
  </si>
  <si>
    <t>% ACUMULADO MAR/2026</t>
  </si>
  <si>
    <t>% ACUMULADO  1º SEMEST 2026</t>
  </si>
  <si>
    <t>% ACUMULADO ABR/2026</t>
  </si>
  <si>
    <t>% ACUMULADO MAI/2026</t>
  </si>
  <si>
    <t>% ACUMULADO JUN/2026</t>
  </si>
  <si>
    <t>% ACUMULADO  2º SEMEST 2026</t>
  </si>
  <si>
    <t>% ACUMULADO  ANO 2026</t>
  </si>
  <si>
    <t>% ACUMULADO DEZ/2026</t>
  </si>
  <si>
    <t>% ACUMULADO JUL/2026</t>
  </si>
  <si>
    <t>% ACUMULADO AGO/2026</t>
  </si>
  <si>
    <t>% ACUMULADO SET/2026</t>
  </si>
  <si>
    <t>% ACUMULADO  3º SEMEST 2026</t>
  </si>
  <si>
    <t>% ACUMULADO OUT/2026</t>
  </si>
  <si>
    <t>% ACUMULADO NOV/2026</t>
  </si>
  <si>
    <t>2.3.08.SUBSTITUIÇÃO TRIBUTÁRIA NA ENTRADA</t>
  </si>
  <si>
    <t>1.3 - BANCO STONE MATRIZ C.C 40256726-7</t>
  </si>
  <si>
    <t>1.5.03. ITAU C.C 83290-2 GARANTIDA</t>
  </si>
  <si>
    <t>4.3.08. DESPESAS NÃO IDENTIFICADAS ( - )</t>
  </si>
  <si>
    <t>% ACUMULADO  1º SEMEST 2025</t>
  </si>
  <si>
    <t>% ACUMULADO  1º Trimes 2026</t>
  </si>
  <si>
    <t>% ACUMULADO  1º Trimes 2025</t>
  </si>
  <si>
    <t>=</t>
  </si>
  <si>
    <t>1.4.1.INVESTIMENTO CDBORE RCP TXFL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</si>
</sst>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theme="4" tint="-0.249977111117893"/>
      <name val="Arial"/>
      <family val="2"/>
    </font>
    <font>
      <b/>
      <sz val="10"/>
      <color theme="4" tint="-0.249977111117893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10"/>
      <color theme="4" tint="-0.249977111117893"/>
      <name val="Arial"/>
      <family val="2"/>
    </font>
    <font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4" tint="-0.249977111117893"/>
      <name val="Arial"/>
      <family val="2"/>
    </font>
    <font>
      <sz val="11"/>
      <color theme="1"/>
      <name val="Calibri"/>
      <family val="2"/>
      <scheme val="minor"/>
    </font>
    <font>
      <b/>
      <sz val="10"/>
      <color theme="4" tint="-0.249977111117893"/>
      <name val="Arial"/>
      <family val="2"/>
    </font>
    <font>
      <b/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1" borderId="0" applyNumberFormat="0" applyBorder="0" applyAlignment="0" applyProtection="0"/>
    <xf numFmtId="44" fontId="1" fillId="0" borderId="0" applyFont="0" applyFill="0" applyBorder="0" applyAlignment="0" applyProtection="0"/>
  </cellStyleXfs>
  <cellXfs count="671">
    <xf numFmtId="0" fontId="0" fillId="0" borderId="0" xfId="0"/>
    <xf numFmtId="0" fontId="3" fillId="0" borderId="0" xfId="0" applyFont="1"/>
    <xf numFmtId="0" fontId="6" fillId="0" borderId="0" xfId="0" applyFont="1"/>
    <xf numFmtId="0" fontId="17" fillId="0" borderId="0" xfId="0" applyFont="1"/>
    <xf numFmtId="0" fontId="0" fillId="2" borderId="0" xfId="0" applyFill="1"/>
    <xf numFmtId="0" fontId="16" fillId="0" borderId="0" xfId="0" applyFont="1" applyAlignment="1">
      <alignment vertical="center"/>
    </xf>
    <xf numFmtId="0" fontId="0" fillId="0" borderId="0" xfId="0" applyProtection="1">
      <protection hidden="1"/>
    </xf>
    <xf numFmtId="0" fontId="21" fillId="0" borderId="0" xfId="0" applyFont="1"/>
    <xf numFmtId="0" fontId="20" fillId="0" borderId="0" xfId="0" applyFont="1" applyAlignment="1">
      <alignment vertical="center"/>
    </xf>
    <xf numFmtId="10" fontId="0" fillId="0" borderId="0" xfId="1" applyNumberFormat="1" applyFont="1"/>
    <xf numFmtId="4" fontId="5" fillId="15" borderId="1" xfId="10" applyNumberFormat="1" applyFont="1" applyFill="1" applyBorder="1" applyAlignment="1">
      <alignment horizontal="center"/>
    </xf>
    <xf numFmtId="4" fontId="5" fillId="21" borderId="1" xfId="10" applyNumberFormat="1" applyFont="1" applyFill="1" applyBorder="1" applyAlignment="1">
      <alignment horizontal="center"/>
    </xf>
    <xf numFmtId="0" fontId="5" fillId="8" borderId="1" xfId="8" applyFont="1" applyBorder="1" applyAlignment="1">
      <alignment horizontal="center"/>
    </xf>
    <xf numFmtId="4" fontId="5" fillId="8" borderId="1" xfId="8" applyNumberFormat="1" applyFont="1" applyBorder="1" applyAlignment="1">
      <alignment horizontal="center"/>
    </xf>
    <xf numFmtId="0" fontId="8" fillId="7" borderId="3" xfId="7" applyFont="1" applyBorder="1" applyAlignment="1">
      <alignment horizontal="left"/>
    </xf>
    <xf numFmtId="4" fontId="8" fillId="7" borderId="4" xfId="7" applyNumberFormat="1" applyFont="1" applyBorder="1"/>
    <xf numFmtId="0" fontId="8" fillId="7" borderId="4" xfId="7" applyFont="1" applyBorder="1" applyAlignment="1">
      <alignment horizontal="left"/>
    </xf>
    <xf numFmtId="10" fontId="5" fillId="15" borderId="5" xfId="10" applyNumberFormat="1" applyFont="1" applyFill="1" applyBorder="1" applyProtection="1">
      <protection hidden="1"/>
    </xf>
    <xf numFmtId="10" fontId="10" fillId="10" borderId="5" xfId="10" applyNumberFormat="1" applyFont="1" applyBorder="1" applyProtection="1">
      <protection hidden="1"/>
    </xf>
    <xf numFmtId="10" fontId="5" fillId="21" borderId="5" xfId="10" applyNumberFormat="1" applyFont="1" applyFill="1" applyBorder="1" applyProtection="1">
      <protection hidden="1"/>
    </xf>
    <xf numFmtId="10" fontId="1" fillId="11" borderId="6" xfId="11" applyNumberFormat="1" applyBorder="1" applyProtection="1">
      <protection hidden="1"/>
    </xf>
    <xf numFmtId="10" fontId="5" fillId="8" borderId="5" xfId="1" applyNumberFormat="1" applyFont="1" applyFill="1" applyBorder="1" applyProtection="1">
      <protection hidden="1"/>
    </xf>
    <xf numFmtId="10" fontId="5" fillId="8" borderId="5" xfId="8" applyNumberFormat="1" applyFont="1" applyBorder="1" applyProtection="1">
      <protection hidden="1"/>
    </xf>
    <xf numFmtId="0" fontId="5" fillId="4" borderId="9" xfId="4" applyFont="1" applyBorder="1" applyAlignment="1" applyProtection="1">
      <alignment horizontal="center"/>
      <protection hidden="1"/>
    </xf>
    <xf numFmtId="10" fontId="1" fillId="11" borderId="7" xfId="11" applyNumberFormat="1" applyBorder="1" applyProtection="1">
      <protection hidden="1"/>
    </xf>
    <xf numFmtId="10" fontId="5" fillId="21" borderId="12" xfId="10" applyNumberFormat="1" applyFont="1" applyFill="1" applyBorder="1" applyProtection="1">
      <protection hidden="1"/>
    </xf>
    <xf numFmtId="10" fontId="1" fillId="6" borderId="7" xfId="6" applyNumberFormat="1" applyBorder="1" applyProtection="1">
      <protection hidden="1"/>
    </xf>
    <xf numFmtId="10" fontId="19" fillId="18" borderId="12" xfId="1" applyNumberFormat="1" applyFont="1" applyFill="1" applyBorder="1" applyAlignment="1" applyProtection="1">
      <alignment vertical="center"/>
      <protection hidden="1"/>
    </xf>
    <xf numFmtId="10" fontId="1" fillId="16" borderId="6" xfId="11" applyNumberFormat="1" applyFill="1" applyBorder="1" applyAlignment="1" applyProtection="1">
      <alignment horizontal="right"/>
      <protection hidden="1"/>
    </xf>
    <xf numFmtId="10" fontId="1" fillId="11" borderId="6" xfId="11" applyNumberFormat="1" applyBorder="1" applyAlignment="1" applyProtection="1">
      <alignment horizontal="right"/>
      <protection hidden="1"/>
    </xf>
    <xf numFmtId="0" fontId="25" fillId="0" borderId="0" xfId="0" applyFont="1" applyAlignment="1">
      <alignment horizontal="center" vertical="center" wrapText="1"/>
    </xf>
    <xf numFmtId="0" fontId="24" fillId="0" borderId="0" xfId="0" applyFont="1"/>
    <xf numFmtId="10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11" fillId="0" borderId="16" xfId="2" applyFont="1" applyBorder="1"/>
    <xf numFmtId="164" fontId="11" fillId="0" borderId="17" xfId="2" applyFont="1" applyBorder="1"/>
    <xf numFmtId="164" fontId="10" fillId="10" borderId="15" xfId="10" applyNumberFormat="1" applyFont="1" applyBorder="1"/>
    <xf numFmtId="164" fontId="5" fillId="21" borderId="15" xfId="10" applyNumberFormat="1" applyFont="1" applyFill="1" applyBorder="1" applyAlignment="1">
      <alignment horizontal="center" vertical="center"/>
    </xf>
    <xf numFmtId="164" fontId="11" fillId="2" borderId="18" xfId="2" applyFont="1" applyFill="1" applyBorder="1"/>
    <xf numFmtId="164" fontId="11" fillId="2" borderId="16" xfId="2" applyFont="1" applyFill="1" applyBorder="1"/>
    <xf numFmtId="164" fontId="11" fillId="0" borderId="18" xfId="2" applyFont="1" applyBorder="1"/>
    <xf numFmtId="164" fontId="5" fillId="22" borderId="15" xfId="8" applyNumberFormat="1" applyFont="1" applyFill="1" applyBorder="1"/>
    <xf numFmtId="164" fontId="5" fillId="8" borderId="15" xfId="8" applyNumberFormat="1" applyFont="1" applyBorder="1"/>
    <xf numFmtId="164" fontId="5" fillId="21" borderId="19" xfId="10" applyNumberFormat="1" applyFont="1" applyFill="1" applyBorder="1" applyAlignment="1">
      <alignment horizontal="center" vertical="center"/>
    </xf>
    <xf numFmtId="164" fontId="12" fillId="2" borderId="16" xfId="6" applyNumberFormat="1" applyFont="1" applyFill="1" applyBorder="1"/>
    <xf numFmtId="4" fontId="5" fillId="15" borderId="5" xfId="10" applyNumberFormat="1" applyFont="1" applyFill="1" applyBorder="1" applyAlignment="1">
      <alignment horizontal="center"/>
    </xf>
    <xf numFmtId="4" fontId="0" fillId="16" borderId="6" xfId="11" applyNumberFormat="1" applyFont="1" applyFill="1" applyBorder="1"/>
    <xf numFmtId="4" fontId="5" fillId="21" borderId="5" xfId="10" applyNumberFormat="1" applyFont="1" applyFill="1" applyBorder="1" applyAlignment="1">
      <alignment horizontal="center"/>
    </xf>
    <xf numFmtId="4" fontId="0" fillId="11" borderId="6" xfId="11" applyNumberFormat="1" applyFont="1" applyBorder="1"/>
    <xf numFmtId="4" fontId="0" fillId="11" borderId="7" xfId="11" applyNumberFormat="1" applyFont="1" applyBorder="1"/>
    <xf numFmtId="4" fontId="7" fillId="11" borderId="20" xfId="11" applyNumberFormat="1" applyFont="1" applyBorder="1"/>
    <xf numFmtId="4" fontId="0" fillId="9" borderId="7" xfId="9" applyNumberFormat="1" applyFont="1" applyBorder="1"/>
    <xf numFmtId="4" fontId="5" fillId="8" borderId="5" xfId="8" applyNumberFormat="1" applyFont="1" applyBorder="1" applyAlignment="1">
      <alignment horizontal="center"/>
    </xf>
    <xf numFmtId="4" fontId="5" fillId="8" borderId="5" xfId="8" applyNumberFormat="1" applyFont="1" applyBorder="1"/>
    <xf numFmtId="4" fontId="0" fillId="5" borderId="7" xfId="5" applyNumberFormat="1" applyFont="1" applyBorder="1" applyAlignment="1">
      <alignment horizontal="left"/>
    </xf>
    <xf numFmtId="4" fontId="0" fillId="11" borderId="11" xfId="11" applyNumberFormat="1" applyFont="1" applyBorder="1"/>
    <xf numFmtId="4" fontId="5" fillId="21" borderId="12" xfId="10" applyNumberFormat="1" applyFont="1" applyFill="1" applyBorder="1" applyAlignment="1">
      <alignment horizontal="center"/>
    </xf>
    <xf numFmtId="4" fontId="0" fillId="11" borderId="20" xfId="11" applyNumberFormat="1" applyFont="1" applyBorder="1"/>
    <xf numFmtId="10" fontId="1" fillId="11" borderId="20" xfId="11" applyNumberFormat="1" applyBorder="1" applyProtection="1">
      <protection hidden="1"/>
    </xf>
    <xf numFmtId="0" fontId="10" fillId="18" borderId="9" xfId="0" applyFont="1" applyFill="1" applyBorder="1" applyProtection="1">
      <protection hidden="1"/>
    </xf>
    <xf numFmtId="10" fontId="0" fillId="0" borderId="21" xfId="1" applyNumberFormat="1" applyFont="1" applyBorder="1" applyAlignment="1">
      <alignment horizontal="center" vertical="center" wrapText="1"/>
    </xf>
    <xf numFmtId="164" fontId="11" fillId="0" borderId="23" xfId="2" applyFont="1" applyBorder="1"/>
    <xf numFmtId="10" fontId="1" fillId="11" borderId="24" xfId="11" applyNumberFormat="1" applyBorder="1" applyAlignment="1" applyProtection="1">
      <alignment horizontal="right"/>
      <protection hidden="1"/>
    </xf>
    <xf numFmtId="164" fontId="11" fillId="2" borderId="23" xfId="2" applyFont="1" applyFill="1" applyBorder="1"/>
    <xf numFmtId="10" fontId="5" fillId="0" borderId="21" xfId="10" applyNumberFormat="1" applyFont="1" applyFill="1" applyBorder="1" applyProtection="1">
      <protection hidden="1"/>
    </xf>
    <xf numFmtId="10" fontId="1" fillId="0" borderId="22" xfId="11" applyNumberFormat="1" applyFill="1" applyBorder="1" applyAlignment="1" applyProtection="1">
      <alignment horizontal="right"/>
      <protection hidden="1"/>
    </xf>
    <xf numFmtId="10" fontId="1" fillId="0" borderId="14" xfId="11" applyNumberFormat="1" applyFill="1" applyBorder="1" applyAlignment="1" applyProtection="1">
      <alignment horizontal="right"/>
      <protection hidden="1"/>
    </xf>
    <xf numFmtId="10" fontId="10" fillId="10" borderId="14" xfId="10" applyNumberFormat="1" applyFont="1" applyBorder="1" applyProtection="1">
      <protection hidden="1"/>
    </xf>
    <xf numFmtId="10" fontId="5" fillId="21" borderId="9" xfId="10" applyNumberFormat="1" applyFont="1" applyFill="1" applyBorder="1" applyProtection="1">
      <protection hidden="1"/>
    </xf>
    <xf numFmtId="10" fontId="5" fillId="8" borderId="9" xfId="1" applyNumberFormat="1" applyFont="1" applyFill="1" applyBorder="1" applyProtection="1">
      <protection hidden="1"/>
    </xf>
    <xf numFmtId="10" fontId="1" fillId="9" borderId="24" xfId="9" applyNumberFormat="1" applyBorder="1" applyProtection="1">
      <protection hidden="1"/>
    </xf>
    <xf numFmtId="10" fontId="1" fillId="9" borderId="26" xfId="9" applyNumberFormat="1" applyBorder="1" applyProtection="1">
      <protection hidden="1"/>
    </xf>
    <xf numFmtId="10" fontId="5" fillId="8" borderId="9" xfId="8" applyNumberFormat="1" applyFont="1" applyBorder="1" applyProtection="1">
      <protection hidden="1"/>
    </xf>
    <xf numFmtId="10" fontId="8" fillId="8" borderId="9" xfId="8" applyNumberFormat="1" applyFont="1" applyBorder="1" applyProtection="1">
      <protection hidden="1"/>
    </xf>
    <xf numFmtId="10" fontId="1" fillId="5" borderId="26" xfId="5" applyNumberFormat="1" applyBorder="1" applyProtection="1">
      <protection hidden="1"/>
    </xf>
    <xf numFmtId="10" fontId="1" fillId="6" borderId="26" xfId="6" applyNumberFormat="1" applyBorder="1" applyProtection="1">
      <protection hidden="1"/>
    </xf>
    <xf numFmtId="10" fontId="19" fillId="18" borderId="14" xfId="1" applyNumberFormat="1" applyFont="1" applyFill="1" applyBorder="1" applyAlignment="1" applyProtection="1">
      <alignment vertical="center"/>
      <protection hidden="1"/>
    </xf>
    <xf numFmtId="10" fontId="1" fillId="16" borderId="26" xfId="11" applyNumberFormat="1" applyFill="1" applyBorder="1" applyProtection="1">
      <protection hidden="1"/>
    </xf>
    <xf numFmtId="9" fontId="15" fillId="12" borderId="8" xfId="3" applyNumberFormat="1" applyFont="1" applyFill="1" applyBorder="1" applyAlignment="1" applyProtection="1">
      <alignment horizontal="center" vertical="center" wrapText="1"/>
      <protection hidden="1"/>
    </xf>
    <xf numFmtId="164" fontId="12" fillId="2" borderId="23" xfId="6" applyNumberFormat="1" applyFont="1" applyFill="1" applyBorder="1"/>
    <xf numFmtId="164" fontId="11" fillId="0" borderId="27" xfId="2" applyFont="1" applyBorder="1"/>
    <xf numFmtId="164" fontId="11" fillId="0" borderId="30" xfId="2" applyFont="1" applyBorder="1"/>
    <xf numFmtId="164" fontId="10" fillId="10" borderId="28" xfId="10" applyNumberFormat="1" applyFont="1" applyBorder="1"/>
    <xf numFmtId="164" fontId="11" fillId="2" borderId="27" xfId="2" applyFont="1" applyFill="1" applyBorder="1"/>
    <xf numFmtId="164" fontId="5" fillId="21" borderId="31" xfId="10" applyNumberFormat="1" applyFont="1" applyFill="1" applyBorder="1" applyAlignment="1">
      <alignment horizontal="center" vertical="center"/>
    </xf>
    <xf numFmtId="10" fontId="1" fillId="11" borderId="22" xfId="11" applyNumberFormat="1" applyBorder="1" applyAlignment="1" applyProtection="1">
      <alignment horizontal="right"/>
      <protection hidden="1"/>
    </xf>
    <xf numFmtId="164" fontId="5" fillId="21" borderId="28" xfId="10" applyNumberFormat="1" applyFont="1" applyFill="1" applyBorder="1" applyAlignment="1">
      <alignment horizontal="center" vertical="center"/>
    </xf>
    <xf numFmtId="164" fontId="5" fillId="22" borderId="28" xfId="8" applyNumberFormat="1" applyFont="1" applyFill="1" applyBorder="1"/>
    <xf numFmtId="10" fontId="1" fillId="9" borderId="22" xfId="9" applyNumberFormat="1" applyBorder="1" applyProtection="1">
      <protection hidden="1"/>
    </xf>
    <xf numFmtId="10" fontId="1" fillId="9" borderId="32" xfId="9" applyNumberFormat="1" applyBorder="1" applyProtection="1">
      <protection hidden="1"/>
    </xf>
    <xf numFmtId="164" fontId="5" fillId="8" borderId="28" xfId="8" applyNumberFormat="1" applyFont="1" applyBorder="1"/>
    <xf numFmtId="10" fontId="9" fillId="17" borderId="22" xfId="10" applyNumberFormat="1" applyFont="1" applyFill="1" applyBorder="1" applyProtection="1">
      <protection hidden="1"/>
    </xf>
    <xf numFmtId="10" fontId="1" fillId="5" borderId="24" xfId="5" applyNumberFormat="1" applyBorder="1" applyProtection="1">
      <protection hidden="1"/>
    </xf>
    <xf numFmtId="164" fontId="9" fillId="7" borderId="31" xfId="7" applyNumberFormat="1" applyFont="1" applyBorder="1"/>
    <xf numFmtId="10" fontId="9" fillId="7" borderId="14" xfId="7" applyNumberFormat="1" applyFont="1" applyBorder="1" applyProtection="1">
      <protection hidden="1"/>
    </xf>
    <xf numFmtId="10" fontId="1" fillId="5" borderId="32" xfId="5" applyNumberFormat="1" applyBorder="1" applyProtection="1">
      <protection hidden="1"/>
    </xf>
    <xf numFmtId="164" fontId="9" fillId="7" borderId="28" xfId="7" applyNumberFormat="1" applyFont="1" applyBorder="1"/>
    <xf numFmtId="10" fontId="9" fillId="7" borderId="9" xfId="7" applyNumberFormat="1" applyFont="1" applyBorder="1" applyProtection="1">
      <protection hidden="1"/>
    </xf>
    <xf numFmtId="10" fontId="14" fillId="7" borderId="14" xfId="1" applyNumberFormat="1" applyFont="1" applyFill="1" applyBorder="1" applyProtection="1">
      <protection hidden="1"/>
    </xf>
    <xf numFmtId="164" fontId="13" fillId="24" borderId="28" xfId="7" applyNumberFormat="1" applyFont="1" applyFill="1" applyBorder="1"/>
    <xf numFmtId="10" fontId="13" fillId="24" borderId="9" xfId="7" applyNumberFormat="1" applyFont="1" applyFill="1" applyBorder="1" applyProtection="1">
      <protection hidden="1"/>
    </xf>
    <xf numFmtId="164" fontId="14" fillId="7" borderId="31" xfId="7" applyNumberFormat="1" applyFont="1" applyBorder="1"/>
    <xf numFmtId="164" fontId="5" fillId="23" borderId="31" xfId="10" applyNumberFormat="1" applyFont="1" applyFill="1" applyBorder="1" applyAlignment="1">
      <alignment horizontal="center" vertical="center"/>
    </xf>
    <xf numFmtId="164" fontId="12" fillId="2" borderId="27" xfId="6" applyNumberFormat="1" applyFont="1" applyFill="1" applyBorder="1"/>
    <xf numFmtId="10" fontId="1" fillId="6" borderId="24" xfId="6" applyNumberFormat="1" applyBorder="1" applyProtection="1">
      <protection hidden="1"/>
    </xf>
    <xf numFmtId="164" fontId="12" fillId="2" borderId="30" xfId="6" applyNumberFormat="1" applyFont="1" applyFill="1" applyBorder="1"/>
    <xf numFmtId="10" fontId="1" fillId="6" borderId="32" xfId="6" applyNumberFormat="1" applyBorder="1" applyProtection="1">
      <protection hidden="1"/>
    </xf>
    <xf numFmtId="164" fontId="8" fillId="15" borderId="14" xfId="10" applyNumberFormat="1" applyFont="1" applyFill="1" applyBorder="1" applyAlignment="1" applyProtection="1">
      <alignment horizontal="center" vertical="center"/>
      <protection hidden="1"/>
    </xf>
    <xf numFmtId="10" fontId="13" fillId="24" borderId="9" xfId="6" applyNumberFormat="1" applyFont="1" applyFill="1" applyBorder="1" applyProtection="1">
      <protection hidden="1"/>
    </xf>
    <xf numFmtId="10" fontId="9" fillId="20" borderId="14" xfId="1" applyNumberFormat="1" applyFont="1" applyFill="1" applyBorder="1" applyProtection="1">
      <protection hidden="1"/>
    </xf>
    <xf numFmtId="10" fontId="9" fillId="17" borderId="14" xfId="1" applyNumberFormat="1" applyFont="1" applyFill="1" applyBorder="1" applyProtection="1">
      <protection hidden="1"/>
    </xf>
    <xf numFmtId="10" fontId="14" fillId="13" borderId="14" xfId="1" applyNumberFormat="1" applyFont="1" applyFill="1" applyBorder="1" applyProtection="1">
      <protection hidden="1"/>
    </xf>
    <xf numFmtId="10" fontId="1" fillId="16" borderId="24" xfId="11" applyNumberFormat="1" applyFill="1" applyBorder="1" applyProtection="1">
      <protection hidden="1"/>
    </xf>
    <xf numFmtId="10" fontId="5" fillId="15" borderId="14" xfId="10" applyNumberFormat="1" applyFont="1" applyFill="1" applyBorder="1" applyProtection="1">
      <protection hidden="1"/>
    </xf>
    <xf numFmtId="10" fontId="1" fillId="16" borderId="32" xfId="11" applyNumberFormat="1" applyFill="1" applyBorder="1" applyProtection="1">
      <protection hidden="1"/>
    </xf>
    <xf numFmtId="164" fontId="5" fillId="19" borderId="28" xfId="10" applyNumberFormat="1" applyFont="1" applyFill="1" applyBorder="1" applyAlignment="1">
      <alignment horizontal="center" vertical="center"/>
    </xf>
    <xf numFmtId="10" fontId="5" fillId="19" borderId="9" xfId="10" applyNumberFormat="1" applyFont="1" applyFill="1" applyBorder="1" applyProtection="1">
      <protection hidden="1"/>
    </xf>
    <xf numFmtId="164" fontId="11" fillId="0" borderId="33" xfId="2" applyFont="1" applyBorder="1"/>
    <xf numFmtId="164" fontId="11" fillId="0" borderId="34" xfId="2" applyFont="1" applyBorder="1"/>
    <xf numFmtId="164" fontId="11" fillId="0" borderId="35" xfId="2" applyFont="1" applyBorder="1"/>
    <xf numFmtId="164" fontId="10" fillId="10" borderId="29" xfId="10" applyNumberFormat="1" applyFont="1" applyBorder="1"/>
    <xf numFmtId="164" fontId="5" fillId="21" borderId="36" xfId="10" applyNumberFormat="1" applyFont="1" applyFill="1" applyBorder="1" applyAlignment="1">
      <alignment horizontal="center" vertical="center"/>
    </xf>
    <xf numFmtId="164" fontId="11" fillId="2" borderId="33" xfId="2" applyFont="1" applyFill="1" applyBorder="1"/>
    <xf numFmtId="164" fontId="11" fillId="2" borderId="34" xfId="2" applyFont="1" applyFill="1" applyBorder="1"/>
    <xf numFmtId="164" fontId="5" fillId="21" borderId="29" xfId="10" applyNumberFormat="1" applyFont="1" applyFill="1" applyBorder="1" applyAlignment="1">
      <alignment horizontal="center" vertical="center"/>
    </xf>
    <xf numFmtId="164" fontId="5" fillId="22" borderId="29" xfId="8" applyNumberFormat="1" applyFont="1" applyFill="1" applyBorder="1"/>
    <xf numFmtId="164" fontId="5" fillId="8" borderId="29" xfId="8" applyNumberFormat="1" applyFont="1" applyBorder="1"/>
    <xf numFmtId="164" fontId="9" fillId="7" borderId="36" xfId="7" applyNumberFormat="1" applyFont="1" applyBorder="1"/>
    <xf numFmtId="164" fontId="9" fillId="7" borderId="29" xfId="7" applyNumberFormat="1" applyFont="1" applyBorder="1"/>
    <xf numFmtId="164" fontId="13" fillId="24" borderId="29" xfId="7" applyNumberFormat="1" applyFont="1" applyFill="1" applyBorder="1"/>
    <xf numFmtId="164" fontId="14" fillId="7" borderId="36" xfId="7" applyNumberFormat="1" applyFont="1" applyBorder="1"/>
    <xf numFmtId="164" fontId="5" fillId="23" borderId="36" xfId="10" applyNumberFormat="1" applyFont="1" applyFill="1" applyBorder="1" applyAlignment="1">
      <alignment horizontal="center" vertical="center"/>
    </xf>
    <xf numFmtId="164" fontId="12" fillId="2" borderId="33" xfId="6" applyNumberFormat="1" applyFont="1" applyFill="1" applyBorder="1"/>
    <xf numFmtId="164" fontId="12" fillId="2" borderId="34" xfId="6" applyNumberFormat="1" applyFont="1" applyFill="1" applyBorder="1"/>
    <xf numFmtId="164" fontId="12" fillId="2" borderId="35" xfId="6" applyNumberFormat="1" applyFont="1" applyFill="1" applyBorder="1"/>
    <xf numFmtId="164" fontId="5" fillId="19" borderId="29" xfId="10" applyNumberFormat="1" applyFont="1" applyFill="1" applyBorder="1" applyAlignment="1">
      <alignment horizontal="center" vertical="center"/>
    </xf>
    <xf numFmtId="14" fontId="22" fillId="12" borderId="8" xfId="3" applyNumberFormat="1" applyFont="1" applyFill="1" applyBorder="1" applyAlignment="1">
      <alignment horizontal="center" vertical="center" wrapText="1"/>
    </xf>
    <xf numFmtId="10" fontId="1" fillId="16" borderId="7" xfId="11" applyNumberFormat="1" applyFill="1" applyBorder="1" applyAlignment="1" applyProtection="1">
      <alignment horizontal="right"/>
      <protection hidden="1"/>
    </xf>
    <xf numFmtId="10" fontId="1" fillId="16" borderId="20" xfId="11" applyNumberFormat="1" applyFill="1" applyBorder="1" applyAlignment="1" applyProtection="1">
      <alignment horizontal="right"/>
      <protection hidden="1"/>
    </xf>
    <xf numFmtId="10" fontId="1" fillId="11" borderId="7" xfId="11" applyNumberFormat="1" applyBorder="1" applyAlignment="1" applyProtection="1">
      <alignment horizontal="right"/>
      <protection hidden="1"/>
    </xf>
    <xf numFmtId="10" fontId="1" fillId="11" borderId="20" xfId="11" applyNumberFormat="1" applyBorder="1" applyAlignment="1" applyProtection="1">
      <alignment horizontal="right"/>
      <protection hidden="1"/>
    </xf>
    <xf numFmtId="10" fontId="1" fillId="11" borderId="20" xfId="1" applyNumberFormat="1" applyFill="1" applyBorder="1" applyAlignment="1" applyProtection="1">
      <alignment horizontal="right"/>
      <protection hidden="1"/>
    </xf>
    <xf numFmtId="10" fontId="9" fillId="7" borderId="12" xfId="7" applyNumberFormat="1" applyFont="1" applyBorder="1" applyProtection="1">
      <protection hidden="1"/>
    </xf>
    <xf numFmtId="10" fontId="9" fillId="7" borderId="5" xfId="7" applyNumberFormat="1" applyFont="1" applyBorder="1" applyProtection="1">
      <protection hidden="1"/>
    </xf>
    <xf numFmtId="10" fontId="5" fillId="23" borderId="12" xfId="1" applyNumberFormat="1" applyFont="1" applyFill="1" applyBorder="1" applyProtection="1">
      <protection hidden="1"/>
    </xf>
    <xf numFmtId="0" fontId="10" fillId="18" borderId="5" xfId="0" applyFont="1" applyFill="1" applyBorder="1" applyProtection="1">
      <protection hidden="1"/>
    </xf>
    <xf numFmtId="10" fontId="1" fillId="6" borderId="6" xfId="6" applyNumberFormat="1" applyBorder="1" applyProtection="1">
      <protection hidden="1"/>
    </xf>
    <xf numFmtId="10" fontId="1" fillId="6" borderId="20" xfId="6" applyNumberFormat="1" applyBorder="1" applyProtection="1">
      <protection hidden="1"/>
    </xf>
    <xf numFmtId="10" fontId="13" fillId="24" borderId="5" xfId="6" applyNumberFormat="1" applyFont="1" applyFill="1" applyBorder="1" applyProtection="1">
      <protection hidden="1"/>
    </xf>
    <xf numFmtId="164" fontId="8" fillId="15" borderId="12" xfId="10" applyNumberFormat="1" applyFont="1" applyFill="1" applyBorder="1" applyAlignment="1" applyProtection="1">
      <alignment horizontal="center" vertical="center"/>
      <protection hidden="1"/>
    </xf>
    <xf numFmtId="10" fontId="9" fillId="17" borderId="12" xfId="1" applyNumberFormat="1" applyFont="1" applyFill="1" applyBorder="1" applyProtection="1">
      <protection hidden="1"/>
    </xf>
    <xf numFmtId="10" fontId="9" fillId="20" borderId="12" xfId="1" applyNumberFormat="1" applyFont="1" applyFill="1" applyBorder="1" applyProtection="1">
      <protection hidden="1"/>
    </xf>
    <xf numFmtId="10" fontId="14" fillId="13" borderId="12" xfId="1" applyNumberFormat="1" applyFont="1" applyFill="1" applyBorder="1" applyProtection="1">
      <protection hidden="1"/>
    </xf>
    <xf numFmtId="164" fontId="5" fillId="15" borderId="5" xfId="10" applyNumberFormat="1" applyFont="1" applyFill="1" applyBorder="1" applyAlignment="1">
      <alignment horizontal="center" vertical="center"/>
    </xf>
    <xf numFmtId="14" fontId="22" fillId="12" borderId="21" xfId="3" applyNumberFormat="1" applyFont="1" applyFill="1" applyBorder="1" applyAlignment="1">
      <alignment horizontal="center" vertical="center" wrapText="1"/>
    </xf>
    <xf numFmtId="164" fontId="5" fillId="15" borderId="9" xfId="10" applyNumberFormat="1" applyFont="1" applyFill="1" applyBorder="1" applyAlignment="1">
      <alignment horizontal="center" vertical="center"/>
    </xf>
    <xf numFmtId="164" fontId="9" fillId="7" borderId="19" xfId="7" applyNumberFormat="1" applyFont="1" applyBorder="1"/>
    <xf numFmtId="164" fontId="9" fillId="7" borderId="15" xfId="7" applyNumberFormat="1" applyFont="1" applyBorder="1"/>
    <xf numFmtId="164" fontId="13" fillId="24" borderId="15" xfId="7" applyNumberFormat="1" applyFont="1" applyFill="1" applyBorder="1"/>
    <xf numFmtId="164" fontId="14" fillId="7" borderId="19" xfId="7" applyNumberFormat="1" applyFont="1" applyBorder="1"/>
    <xf numFmtId="164" fontId="5" fillId="23" borderId="19" xfId="10" applyNumberFormat="1" applyFont="1" applyFill="1" applyBorder="1" applyAlignment="1">
      <alignment horizontal="center" vertical="center"/>
    </xf>
    <xf numFmtId="164" fontId="12" fillId="2" borderId="18" xfId="6" applyNumberFormat="1" applyFont="1" applyFill="1" applyBorder="1"/>
    <xf numFmtId="164" fontId="12" fillId="2" borderId="17" xfId="6" applyNumberFormat="1" applyFont="1" applyFill="1" applyBorder="1"/>
    <xf numFmtId="164" fontId="5" fillId="19" borderId="15" xfId="10" applyNumberFormat="1" applyFont="1" applyFill="1" applyBorder="1" applyAlignment="1">
      <alignment horizontal="center" vertical="center"/>
    </xf>
    <xf numFmtId="4" fontId="0" fillId="16" borderId="11" xfId="11" applyNumberFormat="1" applyFont="1" applyFill="1" applyBorder="1"/>
    <xf numFmtId="4" fontId="0" fillId="9" borderId="6" xfId="9" applyNumberFormat="1" applyFont="1" applyBorder="1"/>
    <xf numFmtId="4" fontId="0" fillId="9" borderId="20" xfId="9" applyNumberFormat="1" applyFont="1" applyBorder="1"/>
    <xf numFmtId="4" fontId="8" fillId="7" borderId="5" xfId="7" applyNumberFormat="1" applyFont="1" applyBorder="1"/>
    <xf numFmtId="4" fontId="0" fillId="5" borderId="6" xfId="5" applyNumberFormat="1" applyFont="1" applyBorder="1" applyAlignment="1">
      <alignment horizontal="left"/>
    </xf>
    <xf numFmtId="4" fontId="5" fillId="24" borderId="5" xfId="7" applyNumberFormat="1" applyFont="1" applyFill="1" applyBorder="1"/>
    <xf numFmtId="4" fontId="10" fillId="13" borderId="12" xfId="7" applyNumberFormat="1" applyFont="1" applyFill="1" applyBorder="1"/>
    <xf numFmtId="4" fontId="5" fillId="23" borderId="12" xfId="10" applyNumberFormat="1" applyFont="1" applyFill="1" applyBorder="1" applyAlignment="1">
      <alignment horizontal="center"/>
    </xf>
    <xf numFmtId="4" fontId="8" fillId="15" borderId="12" xfId="10" applyNumberFormat="1" applyFont="1" applyFill="1" applyBorder="1" applyAlignment="1">
      <alignment horizontal="right"/>
    </xf>
    <xf numFmtId="4" fontId="10" fillId="14" borderId="12" xfId="4" applyNumberFormat="1" applyFont="1" applyFill="1" applyBorder="1" applyAlignment="1">
      <alignment horizontal="right"/>
    </xf>
    <xf numFmtId="4" fontId="5" fillId="15" borderId="12" xfId="10" applyNumberFormat="1" applyFont="1" applyFill="1" applyBorder="1" applyAlignment="1">
      <alignment horizontal="center"/>
    </xf>
    <xf numFmtId="4" fontId="5" fillId="19" borderId="5" xfId="10" applyNumberFormat="1" applyFont="1" applyFill="1" applyBorder="1" applyAlignment="1">
      <alignment horizontal="right"/>
    </xf>
    <xf numFmtId="164" fontId="13" fillId="24" borderId="5" xfId="6" applyNumberFormat="1" applyFont="1" applyFill="1" applyBorder="1"/>
    <xf numFmtId="164" fontId="8" fillId="15" borderId="12" xfId="10" applyNumberFormat="1" applyFont="1" applyFill="1" applyBorder="1" applyAlignment="1">
      <alignment horizontal="center" vertical="center"/>
    </xf>
    <xf numFmtId="164" fontId="9" fillId="17" borderId="12" xfId="6" applyNumberFormat="1" applyFont="1" applyFill="1" applyBorder="1"/>
    <xf numFmtId="164" fontId="9" fillId="20" borderId="12" xfId="6" applyNumberFormat="1" applyFont="1" applyFill="1" applyBorder="1"/>
    <xf numFmtId="164" fontId="19" fillId="18" borderId="12" xfId="6" applyNumberFormat="1" applyFont="1" applyFill="1" applyBorder="1" applyAlignment="1">
      <alignment vertical="center"/>
    </xf>
    <xf numFmtId="164" fontId="14" fillId="13" borderId="12" xfId="4" applyNumberFormat="1" applyFont="1" applyFill="1" applyBorder="1"/>
    <xf numFmtId="164" fontId="5" fillId="15" borderId="12" xfId="10" applyNumberFormat="1" applyFont="1" applyFill="1" applyBorder="1" applyAlignment="1">
      <alignment horizontal="center" vertical="center"/>
    </xf>
    <xf numFmtId="164" fontId="13" fillId="24" borderId="9" xfId="6" applyNumberFormat="1" applyFont="1" applyFill="1" applyBorder="1"/>
    <xf numFmtId="164" fontId="8" fillId="15" borderId="14" xfId="10" applyNumberFormat="1" applyFont="1" applyFill="1" applyBorder="1" applyAlignment="1">
      <alignment horizontal="center" vertical="center"/>
    </xf>
    <xf numFmtId="164" fontId="9" fillId="17" borderId="14" xfId="6" applyNumberFormat="1" applyFont="1" applyFill="1" applyBorder="1"/>
    <xf numFmtId="164" fontId="9" fillId="20" borderId="14" xfId="6" applyNumberFormat="1" applyFont="1" applyFill="1" applyBorder="1"/>
    <xf numFmtId="164" fontId="19" fillId="18" borderId="14" xfId="6" applyNumberFormat="1" applyFont="1" applyFill="1" applyBorder="1" applyAlignment="1">
      <alignment vertical="center"/>
    </xf>
    <xf numFmtId="164" fontId="14" fillId="13" borderId="14" xfId="4" applyNumberFormat="1" applyFont="1" applyFill="1" applyBorder="1"/>
    <xf numFmtId="164" fontId="5" fillId="15" borderId="14" xfId="10" applyNumberFormat="1" applyFont="1" applyFill="1" applyBorder="1" applyAlignment="1">
      <alignment horizontal="center" vertical="center"/>
    </xf>
    <xf numFmtId="164" fontId="10" fillId="18" borderId="15" xfId="0" applyNumberFormat="1" applyFont="1" applyFill="1" applyBorder="1"/>
    <xf numFmtId="10" fontId="1" fillId="9" borderId="6" xfId="9" applyNumberFormat="1" applyBorder="1" applyAlignment="1" applyProtection="1">
      <alignment horizontal="right"/>
      <protection hidden="1"/>
    </xf>
    <xf numFmtId="10" fontId="1" fillId="5" borderId="6" xfId="5" applyNumberFormat="1" applyBorder="1" applyAlignment="1" applyProtection="1">
      <alignment horizontal="right"/>
      <protection hidden="1"/>
    </xf>
    <xf numFmtId="10" fontId="1" fillId="5" borderId="7" xfId="5" applyNumberFormat="1" applyBorder="1" applyAlignment="1" applyProtection="1">
      <alignment horizontal="right"/>
      <protection hidden="1"/>
    </xf>
    <xf numFmtId="10" fontId="1" fillId="5" borderId="20" xfId="5" applyNumberFormat="1" applyBorder="1" applyAlignment="1" applyProtection="1">
      <alignment horizontal="right"/>
      <protection hidden="1"/>
    </xf>
    <xf numFmtId="10" fontId="13" fillId="24" borderId="5" xfId="7" applyNumberFormat="1" applyFont="1" applyFill="1" applyBorder="1" applyAlignment="1" applyProtection="1">
      <alignment horizontal="right"/>
      <protection hidden="1"/>
    </xf>
    <xf numFmtId="10" fontId="14" fillId="7" borderId="12" xfId="1" applyNumberFormat="1" applyFont="1" applyFill="1" applyBorder="1" applyAlignment="1" applyProtection="1">
      <alignment horizontal="right"/>
      <protection hidden="1"/>
    </xf>
    <xf numFmtId="10" fontId="10" fillId="10" borderId="5" xfId="10" applyNumberFormat="1" applyFont="1" applyBorder="1" applyAlignment="1" applyProtection="1">
      <alignment horizontal="right"/>
      <protection hidden="1"/>
    </xf>
    <xf numFmtId="10" fontId="8" fillId="8" borderId="5" xfId="8" applyNumberFormat="1" applyFont="1" applyBorder="1" applyAlignment="1" applyProtection="1">
      <alignment horizontal="right"/>
      <protection hidden="1"/>
    </xf>
    <xf numFmtId="164" fontId="13" fillId="17" borderId="25" xfId="10" applyNumberFormat="1" applyFont="1" applyFill="1" applyBorder="1"/>
    <xf numFmtId="164" fontId="13" fillId="17" borderId="37" xfId="10" applyNumberFormat="1" applyFont="1" applyFill="1" applyBorder="1"/>
    <xf numFmtId="164" fontId="13" fillId="17" borderId="38" xfId="10" applyNumberFormat="1" applyFont="1" applyFill="1" applyBorder="1"/>
    <xf numFmtId="10" fontId="9" fillId="17" borderId="11" xfId="10" applyNumberFormat="1" applyFont="1" applyFill="1" applyBorder="1" applyAlignment="1" applyProtection="1">
      <alignment horizontal="right"/>
      <protection hidden="1"/>
    </xf>
    <xf numFmtId="164" fontId="5" fillId="4" borderId="1" xfId="4" applyNumberFormat="1" applyFont="1" applyBorder="1"/>
    <xf numFmtId="0" fontId="5" fillId="4" borderId="2" xfId="4" applyFont="1" applyBorder="1" applyAlignment="1" applyProtection="1">
      <alignment horizontal="center"/>
      <protection hidden="1"/>
    </xf>
    <xf numFmtId="44" fontId="22" fillId="12" borderId="8" xfId="12" applyFont="1" applyFill="1" applyBorder="1" applyAlignment="1">
      <alignment horizontal="center" vertical="center" wrapText="1"/>
    </xf>
    <xf numFmtId="44" fontId="5" fillId="15" borderId="5" xfId="12" applyFont="1" applyFill="1" applyBorder="1" applyProtection="1">
      <protection hidden="1"/>
    </xf>
    <xf numFmtId="44" fontId="1" fillId="16" borderId="6" xfId="12" applyFill="1" applyBorder="1" applyAlignment="1" applyProtection="1">
      <alignment horizontal="right"/>
      <protection hidden="1"/>
    </xf>
    <xf numFmtId="44" fontId="1" fillId="16" borderId="7" xfId="12" applyFill="1" applyBorder="1" applyAlignment="1" applyProtection="1">
      <alignment horizontal="right"/>
      <protection hidden="1"/>
    </xf>
    <xf numFmtId="44" fontId="1" fillId="16" borderId="20" xfId="12" applyFill="1" applyBorder="1" applyAlignment="1" applyProtection="1">
      <alignment horizontal="right"/>
      <protection hidden="1"/>
    </xf>
    <xf numFmtId="44" fontId="10" fillId="10" borderId="5" xfId="12" applyFont="1" applyFill="1" applyBorder="1" applyProtection="1">
      <protection hidden="1"/>
    </xf>
    <xf numFmtId="44" fontId="5" fillId="21" borderId="12" xfId="12" applyFont="1" applyFill="1" applyBorder="1" applyProtection="1">
      <protection hidden="1"/>
    </xf>
    <xf numFmtId="44" fontId="1" fillId="11" borderId="6" xfId="12" applyFill="1" applyBorder="1" applyAlignment="1" applyProtection="1">
      <alignment horizontal="right"/>
      <protection hidden="1"/>
    </xf>
    <xf numFmtId="44" fontId="1" fillId="11" borderId="7" xfId="12" applyFill="1" applyBorder="1" applyAlignment="1" applyProtection="1">
      <alignment horizontal="right"/>
      <protection hidden="1"/>
    </xf>
    <xf numFmtId="44" fontId="1" fillId="11" borderId="20" xfId="12" applyFill="1" applyBorder="1" applyAlignment="1" applyProtection="1">
      <alignment horizontal="right"/>
      <protection hidden="1"/>
    </xf>
    <xf numFmtId="44" fontId="5" fillId="21" borderId="5" xfId="12" applyFont="1" applyFill="1" applyBorder="1" applyProtection="1">
      <protection hidden="1"/>
    </xf>
    <xf numFmtId="44" fontId="5" fillId="8" borderId="5" xfId="12" applyFont="1" applyFill="1" applyBorder="1" applyProtection="1">
      <protection hidden="1"/>
    </xf>
    <xf numFmtId="44" fontId="1" fillId="9" borderId="6" xfId="12" applyFill="1" applyBorder="1" applyProtection="1">
      <protection hidden="1"/>
    </xf>
    <xf numFmtId="44" fontId="1" fillId="9" borderId="7" xfId="12" applyFill="1" applyBorder="1" applyProtection="1">
      <protection hidden="1"/>
    </xf>
    <xf numFmtId="44" fontId="1" fillId="9" borderId="20" xfId="12" applyFill="1" applyBorder="1" applyProtection="1">
      <protection hidden="1"/>
    </xf>
    <xf numFmtId="44" fontId="5" fillId="4" borderId="2" xfId="12" applyFont="1" applyFill="1" applyBorder="1" applyAlignment="1" applyProtection="1">
      <alignment horizontal="center"/>
      <protection hidden="1"/>
    </xf>
    <xf numFmtId="44" fontId="9" fillId="7" borderId="12" xfId="12" applyFont="1" applyFill="1" applyBorder="1" applyProtection="1">
      <protection hidden="1"/>
    </xf>
    <xf numFmtId="44" fontId="1" fillId="5" borderId="6" xfId="12" applyFill="1" applyBorder="1" applyProtection="1">
      <protection hidden="1"/>
    </xf>
    <xf numFmtId="44" fontId="1" fillId="5" borderId="7" xfId="12" applyFill="1" applyBorder="1" applyProtection="1">
      <protection hidden="1"/>
    </xf>
    <xf numFmtId="44" fontId="1" fillId="5" borderId="20" xfId="12" applyFill="1" applyBorder="1" applyProtection="1">
      <protection hidden="1"/>
    </xf>
    <xf numFmtId="44" fontId="9" fillId="7" borderId="5" xfId="12" applyFont="1" applyFill="1" applyBorder="1" applyProtection="1">
      <protection hidden="1"/>
    </xf>
    <xf numFmtId="44" fontId="13" fillId="24" borderId="5" xfId="12" applyFont="1" applyFill="1" applyBorder="1" applyProtection="1">
      <protection hidden="1"/>
    </xf>
    <xf numFmtId="44" fontId="14" fillId="7" borderId="12" xfId="12" applyFont="1" applyFill="1" applyBorder="1" applyProtection="1">
      <protection hidden="1"/>
    </xf>
    <xf numFmtId="44" fontId="5" fillId="23" borderId="12" xfId="12" applyFont="1" applyFill="1" applyBorder="1" applyProtection="1">
      <protection hidden="1"/>
    </xf>
    <xf numFmtId="44" fontId="1" fillId="11" borderId="6" xfId="12" applyFill="1" applyBorder="1" applyProtection="1">
      <protection hidden="1"/>
    </xf>
    <xf numFmtId="44" fontId="1" fillId="11" borderId="7" xfId="12" applyFill="1" applyBorder="1" applyProtection="1">
      <protection hidden="1"/>
    </xf>
    <xf numFmtId="44" fontId="1" fillId="11" borderId="20" xfId="12" applyFill="1" applyBorder="1" applyProtection="1">
      <protection hidden="1"/>
    </xf>
    <xf numFmtId="44" fontId="10" fillId="18" borderId="5" xfId="12" applyFont="1" applyFill="1" applyBorder="1" applyProtection="1">
      <protection hidden="1"/>
    </xf>
    <xf numFmtId="44" fontId="1" fillId="6" borderId="6" xfId="12" applyFill="1" applyBorder="1" applyProtection="1">
      <protection hidden="1"/>
    </xf>
    <xf numFmtId="44" fontId="1" fillId="6" borderId="7" xfId="12" applyFill="1" applyBorder="1" applyProtection="1">
      <protection hidden="1"/>
    </xf>
    <xf numFmtId="44" fontId="1" fillId="6" borderId="20" xfId="12" applyFill="1" applyBorder="1" applyProtection="1">
      <protection hidden="1"/>
    </xf>
    <xf numFmtId="44" fontId="8" fillId="15" borderId="12" xfId="12" applyFont="1" applyFill="1" applyBorder="1" applyAlignment="1" applyProtection="1">
      <alignment horizontal="center" vertical="center"/>
      <protection hidden="1"/>
    </xf>
    <xf numFmtId="44" fontId="9" fillId="17" borderId="12" xfId="12" applyFont="1" applyFill="1" applyBorder="1" applyProtection="1">
      <protection hidden="1"/>
    </xf>
    <xf numFmtId="44" fontId="9" fillId="20" borderId="12" xfId="12" applyFont="1" applyFill="1" applyBorder="1" applyProtection="1">
      <protection hidden="1"/>
    </xf>
    <xf numFmtId="44" fontId="19" fillId="18" borderId="12" xfId="12" applyFont="1" applyFill="1" applyBorder="1" applyAlignment="1" applyProtection="1">
      <alignment vertical="center"/>
      <protection hidden="1"/>
    </xf>
    <xf numFmtId="44" fontId="14" fillId="13" borderId="12" xfId="12" applyFont="1" applyFill="1" applyBorder="1" applyProtection="1">
      <protection hidden="1"/>
    </xf>
    <xf numFmtId="44" fontId="5" fillId="15" borderId="12" xfId="12" applyFont="1" applyFill="1" applyBorder="1" applyProtection="1">
      <protection hidden="1"/>
    </xf>
    <xf numFmtId="44" fontId="1" fillId="16" borderId="6" xfId="12" applyFill="1" applyBorder="1" applyProtection="1">
      <protection hidden="1"/>
    </xf>
    <xf numFmtId="44" fontId="1" fillId="16" borderId="7" xfId="12" applyFill="1" applyBorder="1" applyProtection="1">
      <protection hidden="1"/>
    </xf>
    <xf numFmtId="44" fontId="5" fillId="19" borderId="5" xfId="12" applyFont="1" applyFill="1" applyBorder="1" applyProtection="1">
      <protection hidden="1"/>
    </xf>
    <xf numFmtId="44" fontId="0" fillId="0" borderId="0" xfId="12" applyFont="1"/>
    <xf numFmtId="10" fontId="5" fillId="21" borderId="5" xfId="10" applyNumberFormat="1" applyFont="1" applyFill="1" applyBorder="1" applyAlignment="1" applyProtection="1">
      <alignment horizontal="right"/>
      <protection hidden="1"/>
    </xf>
    <xf numFmtId="10" fontId="3" fillId="0" borderId="0" xfId="0" applyNumberFormat="1" applyFont="1"/>
    <xf numFmtId="164" fontId="5" fillId="4" borderId="2" xfId="4" applyNumberFormat="1" applyFont="1" applyBorder="1"/>
    <xf numFmtId="164" fontId="10" fillId="18" borderId="28" xfId="0" applyNumberFormat="1" applyFont="1" applyFill="1" applyBorder="1"/>
    <xf numFmtId="10" fontId="5" fillId="4" borderId="9" xfId="4" applyNumberFormat="1" applyFont="1" applyBorder="1" applyAlignment="1" applyProtection="1">
      <alignment horizontal="right"/>
      <protection hidden="1"/>
    </xf>
    <xf numFmtId="10" fontId="10" fillId="18" borderId="9" xfId="0" applyNumberFormat="1" applyFont="1" applyFill="1" applyBorder="1" applyAlignment="1" applyProtection="1">
      <alignment horizontal="right"/>
      <protection hidden="1"/>
    </xf>
    <xf numFmtId="10" fontId="0" fillId="0" borderId="0" xfId="1" applyNumberFormat="1" applyFont="1" applyAlignment="1">
      <alignment horizontal="right"/>
    </xf>
    <xf numFmtId="10" fontId="5" fillId="15" borderId="12" xfId="10" applyNumberFormat="1" applyFont="1" applyFill="1" applyBorder="1" applyAlignment="1" applyProtection="1">
      <alignment horizontal="right"/>
      <protection hidden="1"/>
    </xf>
    <xf numFmtId="10" fontId="5" fillId="19" borderId="5" xfId="10" applyNumberFormat="1" applyFont="1" applyFill="1" applyBorder="1" applyAlignment="1" applyProtection="1">
      <alignment horizontal="right"/>
      <protection hidden="1"/>
    </xf>
    <xf numFmtId="164" fontId="11" fillId="16" borderId="16" xfId="2" applyFont="1" applyFill="1" applyBorder="1"/>
    <xf numFmtId="164" fontId="11" fillId="16" borderId="17" xfId="2" applyFont="1" applyFill="1" applyBorder="1"/>
    <xf numFmtId="0" fontId="0" fillId="0" borderId="0" xfId="0" applyAlignment="1" applyProtection="1">
      <alignment horizontal="right"/>
      <protection hidden="1"/>
    </xf>
    <xf numFmtId="164" fontId="11" fillId="16" borderId="18" xfId="2" applyFont="1" applyFill="1" applyBorder="1"/>
    <xf numFmtId="164" fontId="11" fillId="16" borderId="27" xfId="2" applyFont="1" applyFill="1" applyBorder="1"/>
    <xf numFmtId="164" fontId="11" fillId="16" borderId="33" xfId="2" applyFont="1" applyFill="1" applyBorder="1"/>
    <xf numFmtId="164" fontId="11" fillId="16" borderId="23" xfId="2" applyFont="1" applyFill="1" applyBorder="1"/>
    <xf numFmtId="164" fontId="11" fillId="16" borderId="34" xfId="2" applyFont="1" applyFill="1" applyBorder="1"/>
    <xf numFmtId="164" fontId="11" fillId="16" borderId="30" xfId="2" applyFont="1" applyFill="1" applyBorder="1"/>
    <xf numFmtId="164" fontId="11" fillId="16" borderId="35" xfId="2" applyFont="1" applyFill="1" applyBorder="1"/>
    <xf numFmtId="4" fontId="10" fillId="10" borderId="5" xfId="10" applyNumberFormat="1" applyFont="1" applyBorder="1" applyAlignment="1">
      <alignment horizontal="center"/>
    </xf>
    <xf numFmtId="4" fontId="0" fillId="9" borderId="7" xfId="9" applyNumberFormat="1" applyFont="1" applyBorder="1" applyAlignment="1">
      <alignment horizontal="left"/>
    </xf>
    <xf numFmtId="4" fontId="0" fillId="9" borderId="20" xfId="9" applyNumberFormat="1" applyFont="1" applyBorder="1" applyAlignment="1">
      <alignment horizontal="left"/>
    </xf>
    <xf numFmtId="4" fontId="10" fillId="18" borderId="5" xfId="0" applyNumberFormat="1" applyFont="1" applyFill="1" applyBorder="1"/>
    <xf numFmtId="4" fontId="0" fillId="6" borderId="7" xfId="6" applyNumberFormat="1" applyFont="1" applyBorder="1" applyAlignment="1">
      <alignment horizontal="left"/>
    </xf>
    <xf numFmtId="4" fontId="18" fillId="18" borderId="12" xfId="6" applyNumberFormat="1" applyFont="1" applyFill="1" applyBorder="1" applyAlignment="1">
      <alignment horizontal="right" vertical="center"/>
    </xf>
    <xf numFmtId="4" fontId="0" fillId="9" borderId="6" xfId="9" applyNumberFormat="1" applyFont="1" applyBorder="1" applyAlignment="1">
      <alignment horizontal="left"/>
    </xf>
    <xf numFmtId="4" fontId="13" fillId="17" borderId="12" xfId="10" applyNumberFormat="1" applyFont="1" applyFill="1" applyBorder="1" applyAlignment="1">
      <alignment horizontal="left"/>
    </xf>
    <xf numFmtId="4" fontId="5" fillId="4" borderId="5" xfId="4" applyNumberFormat="1" applyFont="1" applyBorder="1" applyAlignment="1">
      <alignment horizontal="center" vertical="center"/>
    </xf>
    <xf numFmtId="4" fontId="8" fillId="7" borderId="12" xfId="7" applyNumberFormat="1" applyFont="1" applyBorder="1" applyAlignment="1">
      <alignment horizontal="left"/>
    </xf>
    <xf numFmtId="4" fontId="0" fillId="5" borderId="20" xfId="5" applyNumberFormat="1" applyFont="1" applyBorder="1" applyAlignment="1">
      <alignment horizontal="left"/>
    </xf>
    <xf numFmtId="4" fontId="8" fillId="7" borderId="5" xfId="7" applyNumberFormat="1" applyFont="1" applyBorder="1" applyAlignment="1">
      <alignment horizontal="left"/>
    </xf>
    <xf numFmtId="4" fontId="18" fillId="7" borderId="12" xfId="7" applyNumberFormat="1" applyFont="1" applyBorder="1"/>
    <xf numFmtId="4" fontId="0" fillId="6" borderId="6" xfId="6" applyNumberFormat="1" applyFont="1" applyBorder="1" applyAlignment="1">
      <alignment horizontal="left"/>
    </xf>
    <xf numFmtId="4" fontId="0" fillId="6" borderId="20" xfId="6" applyNumberFormat="1" applyFont="1" applyBorder="1" applyAlignment="1">
      <alignment horizontal="left"/>
    </xf>
    <xf numFmtId="4" fontId="5" fillId="24" borderId="5" xfId="6" applyNumberFormat="1" applyFont="1" applyFill="1" applyBorder="1" applyAlignment="1">
      <alignment horizontal="left"/>
    </xf>
    <xf numFmtId="4" fontId="8" fillId="17" borderId="12" xfId="6" applyNumberFormat="1" applyFont="1" applyFill="1" applyBorder="1" applyAlignment="1">
      <alignment horizontal="right"/>
    </xf>
    <xf numFmtId="4" fontId="8" fillId="20" borderId="12" xfId="6" applyNumberFormat="1" applyFont="1" applyFill="1" applyBorder="1" applyAlignment="1">
      <alignment horizontal="right"/>
    </xf>
    <xf numFmtId="44" fontId="0" fillId="0" borderId="0" xfId="12" applyFont="1" applyFill="1"/>
    <xf numFmtId="44" fontId="3" fillId="0" borderId="0" xfId="12" applyFont="1"/>
    <xf numFmtId="44" fontId="17" fillId="0" borderId="0" xfId="12" applyFont="1"/>
    <xf numFmtId="44" fontId="0" fillId="0" borderId="0" xfId="0" applyNumberFormat="1"/>
    <xf numFmtId="164" fontId="10" fillId="18" borderId="29" xfId="0" applyNumberFormat="1" applyFont="1" applyFill="1" applyBorder="1"/>
    <xf numFmtId="44" fontId="13" fillId="17" borderId="11" xfId="12" applyFont="1" applyFill="1" applyBorder="1" applyProtection="1">
      <protection hidden="1"/>
    </xf>
    <xf numFmtId="0" fontId="0" fillId="0" borderId="0" xfId="0" applyAlignment="1">
      <alignment horizontal="center"/>
    </xf>
    <xf numFmtId="164" fontId="13" fillId="24" borderId="2" xfId="6" applyNumberFormat="1" applyFont="1" applyFill="1" applyBorder="1"/>
    <xf numFmtId="164" fontId="8" fillId="15" borderId="39" xfId="10" applyNumberFormat="1" applyFont="1" applyFill="1" applyBorder="1" applyAlignment="1">
      <alignment horizontal="center" vertical="center"/>
    </xf>
    <xf numFmtId="164" fontId="9" fillId="17" borderId="39" xfId="6" applyNumberFormat="1" applyFont="1" applyFill="1" applyBorder="1"/>
    <xf numFmtId="164" fontId="9" fillId="20" borderId="39" xfId="6" applyNumberFormat="1" applyFont="1" applyFill="1" applyBorder="1"/>
    <xf numFmtId="164" fontId="19" fillId="18" borderId="39" xfId="6" applyNumberFormat="1" applyFont="1" applyFill="1" applyBorder="1" applyAlignment="1">
      <alignment vertical="center"/>
    </xf>
    <xf numFmtId="164" fontId="14" fillId="13" borderId="39" xfId="4" applyNumberFormat="1" applyFont="1" applyFill="1" applyBorder="1"/>
    <xf numFmtId="164" fontId="5" fillId="15" borderId="39" xfId="10" applyNumberFormat="1" applyFont="1" applyFill="1" applyBorder="1" applyAlignment="1">
      <alignment horizontal="center" vertical="center"/>
    </xf>
    <xf numFmtId="164" fontId="11" fillId="16" borderId="40" xfId="2" applyFont="1" applyFill="1" applyBorder="1"/>
    <xf numFmtId="164" fontId="13" fillId="24" borderId="41" xfId="6" applyNumberFormat="1" applyFont="1" applyFill="1" applyBorder="1"/>
    <xf numFmtId="164" fontId="8" fillId="15" borderId="42" xfId="10" applyNumberFormat="1" applyFont="1" applyFill="1" applyBorder="1" applyAlignment="1">
      <alignment horizontal="center" vertical="center"/>
    </xf>
    <xf numFmtId="164" fontId="9" fillId="17" borderId="42" xfId="6" applyNumberFormat="1" applyFont="1" applyFill="1" applyBorder="1"/>
    <xf numFmtId="164" fontId="9" fillId="20" borderId="42" xfId="6" applyNumberFormat="1" applyFont="1" applyFill="1" applyBorder="1"/>
    <xf numFmtId="164" fontId="19" fillId="18" borderId="42" xfId="6" applyNumberFormat="1" applyFont="1" applyFill="1" applyBorder="1" applyAlignment="1">
      <alignment vertical="center"/>
    </xf>
    <xf numFmtId="164" fontId="14" fillId="13" borderId="42" xfId="4" applyNumberFormat="1" applyFont="1" applyFill="1" applyBorder="1"/>
    <xf numFmtId="164" fontId="5" fillId="15" borderId="42" xfId="10" applyNumberFormat="1" applyFont="1" applyFill="1" applyBorder="1" applyAlignment="1">
      <alignment horizontal="center" vertical="center"/>
    </xf>
    <xf numFmtId="164" fontId="27" fillId="0" borderId="23" xfId="2" applyFont="1" applyBorder="1"/>
    <xf numFmtId="10" fontId="5" fillId="0" borderId="21" xfId="10" applyNumberFormat="1" applyFont="1" applyFill="1" applyBorder="1" applyAlignment="1" applyProtection="1">
      <alignment horizontal="right"/>
      <protection hidden="1"/>
    </xf>
    <xf numFmtId="10" fontId="10" fillId="10" borderId="14" xfId="10" applyNumberFormat="1" applyFont="1" applyBorder="1" applyAlignment="1" applyProtection="1">
      <alignment horizontal="right"/>
      <protection hidden="1"/>
    </xf>
    <xf numFmtId="10" fontId="5" fillId="21" borderId="9" xfId="10" applyNumberFormat="1" applyFont="1" applyFill="1" applyBorder="1" applyAlignment="1" applyProtection="1">
      <alignment horizontal="right"/>
      <protection hidden="1"/>
    </xf>
    <xf numFmtId="10" fontId="5" fillId="8" borderId="9" xfId="1" applyNumberFormat="1" applyFont="1" applyFill="1" applyBorder="1" applyAlignment="1" applyProtection="1">
      <alignment horizontal="right"/>
      <protection hidden="1"/>
    </xf>
    <xf numFmtId="10" fontId="1" fillId="9" borderId="24" xfId="9" applyNumberFormat="1" applyBorder="1" applyAlignment="1" applyProtection="1">
      <alignment horizontal="right"/>
      <protection hidden="1"/>
    </xf>
    <xf numFmtId="10" fontId="1" fillId="9" borderId="26" xfId="9" applyNumberFormat="1" applyBorder="1" applyAlignment="1" applyProtection="1">
      <alignment horizontal="right"/>
      <protection hidden="1"/>
    </xf>
    <xf numFmtId="10" fontId="5" fillId="8" borderId="9" xfId="8" applyNumberFormat="1" applyFont="1" applyBorder="1" applyAlignment="1" applyProtection="1">
      <alignment horizontal="right"/>
      <protection hidden="1"/>
    </xf>
    <xf numFmtId="10" fontId="8" fillId="8" borderId="9" xfId="8" applyNumberFormat="1" applyFont="1" applyBorder="1" applyAlignment="1" applyProtection="1">
      <alignment horizontal="right"/>
      <protection hidden="1"/>
    </xf>
    <xf numFmtId="10" fontId="9" fillId="17" borderId="21" xfId="10" applyNumberFormat="1" applyFont="1" applyFill="1" applyBorder="1" applyAlignment="1" applyProtection="1">
      <alignment horizontal="right"/>
      <protection hidden="1"/>
    </xf>
    <xf numFmtId="10" fontId="9" fillId="7" borderId="24" xfId="7" applyNumberFormat="1" applyFont="1" applyBorder="1" applyAlignment="1" applyProtection="1">
      <alignment horizontal="right"/>
      <protection hidden="1"/>
    </xf>
    <xf numFmtId="10" fontId="1" fillId="5" borderId="26" xfId="5" applyNumberFormat="1" applyBorder="1" applyAlignment="1" applyProtection="1">
      <alignment horizontal="right"/>
      <protection hidden="1"/>
    </xf>
    <xf numFmtId="10" fontId="9" fillId="7" borderId="26" xfId="7" applyNumberFormat="1" applyFont="1" applyBorder="1" applyAlignment="1" applyProtection="1">
      <alignment horizontal="right"/>
      <protection hidden="1"/>
    </xf>
    <xf numFmtId="10" fontId="28" fillId="16" borderId="26" xfId="11" applyNumberFormat="1" applyFont="1" applyFill="1" applyBorder="1" applyAlignment="1" applyProtection="1">
      <alignment horizontal="right"/>
      <protection hidden="1"/>
    </xf>
    <xf numFmtId="10" fontId="13" fillId="24" borderId="26" xfId="7" applyNumberFormat="1" applyFont="1" applyFill="1" applyBorder="1" applyAlignment="1" applyProtection="1">
      <alignment horizontal="right"/>
      <protection hidden="1"/>
    </xf>
    <xf numFmtId="10" fontId="14" fillId="7" borderId="43" xfId="1" applyNumberFormat="1" applyFont="1" applyFill="1" applyBorder="1" applyAlignment="1" applyProtection="1">
      <alignment horizontal="right"/>
      <protection hidden="1"/>
    </xf>
    <xf numFmtId="10" fontId="5" fillId="23" borderId="9" xfId="1" applyNumberFormat="1" applyFont="1" applyFill="1" applyBorder="1" applyAlignment="1" applyProtection="1">
      <alignment horizontal="right"/>
      <protection hidden="1"/>
    </xf>
    <xf numFmtId="10" fontId="5" fillId="21" borderId="21" xfId="10" applyNumberFormat="1" applyFont="1" applyFill="1" applyBorder="1" applyAlignment="1" applyProtection="1">
      <alignment horizontal="right"/>
      <protection hidden="1"/>
    </xf>
    <xf numFmtId="10" fontId="1" fillId="11" borderId="21" xfId="11" applyNumberFormat="1" applyBorder="1" applyAlignment="1" applyProtection="1">
      <alignment horizontal="right"/>
      <protection hidden="1"/>
    </xf>
    <xf numFmtId="10" fontId="1" fillId="11" borderId="26" xfId="11" applyNumberFormat="1" applyBorder="1" applyAlignment="1" applyProtection="1">
      <alignment horizontal="right"/>
      <protection hidden="1"/>
    </xf>
    <xf numFmtId="10" fontId="1" fillId="11" borderId="43" xfId="11" applyNumberFormat="1" applyBorder="1" applyAlignment="1" applyProtection="1">
      <alignment horizontal="right"/>
      <protection hidden="1"/>
    </xf>
    <xf numFmtId="10" fontId="5" fillId="21" borderId="14" xfId="10" applyNumberFormat="1" applyFont="1" applyFill="1" applyBorder="1" applyAlignment="1" applyProtection="1">
      <alignment horizontal="right"/>
      <protection hidden="1"/>
    </xf>
    <xf numFmtId="10" fontId="1" fillId="11" borderId="44" xfId="11" applyNumberFormat="1" applyBorder="1" applyAlignment="1" applyProtection="1">
      <alignment horizontal="right"/>
      <protection hidden="1"/>
    </xf>
    <xf numFmtId="10" fontId="1" fillId="6" borderId="26" xfId="6" applyNumberFormat="1" applyBorder="1" applyAlignment="1" applyProtection="1">
      <alignment horizontal="right"/>
      <protection hidden="1"/>
    </xf>
    <xf numFmtId="10" fontId="13" fillId="24" borderId="14" xfId="6" applyNumberFormat="1" applyFont="1" applyFill="1" applyBorder="1" applyAlignment="1" applyProtection="1">
      <alignment horizontal="right"/>
      <protection hidden="1"/>
    </xf>
    <xf numFmtId="164" fontId="8" fillId="15" borderId="9" xfId="10" applyNumberFormat="1" applyFont="1" applyFill="1" applyBorder="1" applyAlignment="1" applyProtection="1">
      <alignment horizontal="right" vertical="center"/>
      <protection hidden="1"/>
    </xf>
    <xf numFmtId="10" fontId="9" fillId="17" borderId="21" xfId="1" applyNumberFormat="1" applyFont="1" applyFill="1" applyBorder="1" applyAlignment="1" applyProtection="1">
      <alignment horizontal="right"/>
      <protection hidden="1"/>
    </xf>
    <xf numFmtId="10" fontId="9" fillId="20" borderId="9" xfId="1" applyNumberFormat="1" applyFont="1" applyFill="1" applyBorder="1" applyAlignment="1" applyProtection="1">
      <alignment horizontal="right"/>
      <protection hidden="1"/>
    </xf>
    <xf numFmtId="10" fontId="19" fillId="18" borderId="14" xfId="1" applyNumberFormat="1" applyFont="1" applyFill="1" applyBorder="1" applyAlignment="1" applyProtection="1">
      <alignment horizontal="right" vertical="center"/>
      <protection hidden="1"/>
    </xf>
    <xf numFmtId="10" fontId="14" fillId="13" borderId="9" xfId="1" applyNumberFormat="1" applyFont="1" applyFill="1" applyBorder="1" applyAlignment="1" applyProtection="1">
      <alignment horizontal="right"/>
      <protection hidden="1"/>
    </xf>
    <xf numFmtId="10" fontId="5" fillId="15" borderId="26" xfId="10" applyNumberFormat="1" applyFont="1" applyFill="1" applyBorder="1" applyAlignment="1" applyProtection="1">
      <alignment horizontal="right"/>
      <protection hidden="1"/>
    </xf>
    <xf numFmtId="10" fontId="1" fillId="16" borderId="26" xfId="11" applyNumberFormat="1" applyFill="1" applyBorder="1" applyAlignment="1" applyProtection="1">
      <alignment horizontal="right"/>
      <protection hidden="1"/>
    </xf>
    <xf numFmtId="10" fontId="5" fillId="19" borderId="43" xfId="10" applyNumberFormat="1" applyFont="1" applyFill="1" applyBorder="1" applyAlignment="1" applyProtection="1">
      <alignment horizontal="right"/>
      <protection hidden="1"/>
    </xf>
    <xf numFmtId="164" fontId="5" fillId="15" borderId="23" xfId="10" applyNumberFormat="1" applyFont="1" applyFill="1" applyBorder="1" applyAlignment="1">
      <alignment horizontal="center" vertical="center"/>
    </xf>
    <xf numFmtId="164" fontId="10" fillId="10" borderId="23" xfId="10" applyNumberFormat="1" applyFont="1" applyBorder="1"/>
    <xf numFmtId="164" fontId="5" fillId="21" borderId="23" xfId="10" applyNumberFormat="1" applyFont="1" applyFill="1" applyBorder="1" applyAlignment="1">
      <alignment horizontal="center" vertical="center"/>
    </xf>
    <xf numFmtId="164" fontId="5" fillId="22" borderId="23" xfId="8" applyNumberFormat="1" applyFont="1" applyFill="1" applyBorder="1"/>
    <xf numFmtId="164" fontId="5" fillId="8" borderId="23" xfId="8" applyNumberFormat="1" applyFont="1" applyBorder="1"/>
    <xf numFmtId="164" fontId="13" fillId="17" borderId="23" xfId="10" applyNumberFormat="1" applyFont="1" applyFill="1" applyBorder="1"/>
    <xf numFmtId="0" fontId="5" fillId="4" borderId="23" xfId="4" applyFont="1" applyBorder="1"/>
    <xf numFmtId="164" fontId="9" fillId="7" borderId="23" xfId="7" applyNumberFormat="1" applyFont="1" applyBorder="1"/>
    <xf numFmtId="164" fontId="13" fillId="24" borderId="23" xfId="7" applyNumberFormat="1" applyFont="1" applyFill="1" applyBorder="1"/>
    <xf numFmtId="164" fontId="14" fillId="7" borderId="23" xfId="7" applyNumberFormat="1" applyFont="1" applyBorder="1"/>
    <xf numFmtId="164" fontId="5" fillId="23" borderId="23" xfId="10" applyNumberFormat="1" applyFont="1" applyFill="1" applyBorder="1" applyAlignment="1">
      <alignment horizontal="center" vertical="center"/>
    </xf>
    <xf numFmtId="0" fontId="10" fillId="18" borderId="23" xfId="0" applyFont="1" applyFill="1" applyBorder="1"/>
    <xf numFmtId="164" fontId="13" fillId="24" borderId="23" xfId="6" applyNumberFormat="1" applyFont="1" applyFill="1" applyBorder="1"/>
    <xf numFmtId="164" fontId="8" fillId="15" borderId="23" xfId="10" applyNumberFormat="1" applyFont="1" applyFill="1" applyBorder="1" applyAlignment="1">
      <alignment horizontal="center" vertical="center"/>
    </xf>
    <xf numFmtId="164" fontId="9" fillId="17" borderId="23" xfId="6" applyNumberFormat="1" applyFont="1" applyFill="1" applyBorder="1"/>
    <xf numFmtId="164" fontId="9" fillId="20" borderId="23" xfId="6" applyNumberFormat="1" applyFont="1" applyFill="1" applyBorder="1"/>
    <xf numFmtId="164" fontId="19" fillId="18" borderId="23" xfId="6" applyNumberFormat="1" applyFont="1" applyFill="1" applyBorder="1" applyAlignment="1">
      <alignment vertical="center"/>
    </xf>
    <xf numFmtId="164" fontId="14" fillId="13" borderId="23" xfId="4" applyNumberFormat="1" applyFont="1" applyFill="1" applyBorder="1"/>
    <xf numFmtId="164" fontId="27" fillId="0" borderId="16" xfId="2" applyFont="1" applyBorder="1"/>
    <xf numFmtId="164" fontId="27" fillId="0" borderId="17" xfId="2" applyFont="1" applyBorder="1"/>
    <xf numFmtId="164" fontId="27" fillId="0" borderId="30" xfId="2" applyFont="1" applyBorder="1"/>
    <xf numFmtId="164" fontId="27" fillId="0" borderId="34" xfId="2" applyFont="1" applyBorder="1"/>
    <xf numFmtId="164" fontId="27" fillId="0" borderId="35" xfId="2" applyFont="1" applyBorder="1"/>
    <xf numFmtId="4" fontId="28" fillId="25" borderId="11" xfId="11" applyNumberFormat="1" applyFont="1" applyFill="1" applyBorder="1"/>
    <xf numFmtId="4" fontId="28" fillId="25" borderId="20" xfId="11" applyNumberFormat="1" applyFont="1" applyFill="1" applyBorder="1"/>
    <xf numFmtId="4" fontId="28" fillId="25" borderId="7" xfId="11" applyNumberFormat="1" applyFont="1" applyFill="1" applyBorder="1"/>
    <xf numFmtId="4" fontId="7" fillId="11" borderId="7" xfId="11" applyNumberFormat="1" applyFont="1" applyBorder="1"/>
    <xf numFmtId="164" fontId="27" fillId="0" borderId="25" xfId="2" applyFont="1" applyBorder="1"/>
    <xf numFmtId="164" fontId="27" fillId="0" borderId="37" xfId="2" applyFont="1" applyBorder="1"/>
    <xf numFmtId="164" fontId="27" fillId="0" borderId="38" xfId="2" applyFont="1" applyBorder="1"/>
    <xf numFmtId="164" fontId="27" fillId="0" borderId="18" xfId="2" applyFont="1" applyBorder="1"/>
    <xf numFmtId="164" fontId="27" fillId="0" borderId="27" xfId="2" applyFont="1" applyBorder="1"/>
    <xf numFmtId="164" fontId="27" fillId="0" borderId="33" xfId="2" applyFont="1" applyBorder="1"/>
    <xf numFmtId="164" fontId="27" fillId="2" borderId="16" xfId="2" applyFont="1" applyFill="1" applyBorder="1"/>
    <xf numFmtId="164" fontId="27" fillId="2" borderId="17" xfId="2" applyFont="1" applyFill="1" applyBorder="1"/>
    <xf numFmtId="164" fontId="27" fillId="2" borderId="23" xfId="2" applyFont="1" applyFill="1" applyBorder="1"/>
    <xf numFmtId="164" fontId="27" fillId="2" borderId="30" xfId="2" applyFont="1" applyFill="1" applyBorder="1"/>
    <xf numFmtId="164" fontId="27" fillId="2" borderId="34" xfId="2" applyFont="1" applyFill="1" applyBorder="1"/>
    <xf numFmtId="164" fontId="27" fillId="2" borderId="35" xfId="2" applyFont="1" applyFill="1" applyBorder="1"/>
    <xf numFmtId="4" fontId="28" fillId="26" borderId="6" xfId="11" applyNumberFormat="1" applyFont="1" applyFill="1" applyBorder="1" applyAlignment="1">
      <alignment horizontal="left"/>
    </xf>
    <xf numFmtId="164" fontId="27" fillId="2" borderId="18" xfId="2" applyFont="1" applyFill="1" applyBorder="1"/>
    <xf numFmtId="164" fontId="27" fillId="2" borderId="25" xfId="2" applyFont="1" applyFill="1" applyBorder="1"/>
    <xf numFmtId="164" fontId="27" fillId="2" borderId="27" xfId="2" applyFont="1" applyFill="1" applyBorder="1"/>
    <xf numFmtId="164" fontId="27" fillId="2" borderId="37" xfId="2" applyFont="1" applyFill="1" applyBorder="1"/>
    <xf numFmtId="164" fontId="27" fillId="2" borderId="33" xfId="2" applyFont="1" applyFill="1" applyBorder="1"/>
    <xf numFmtId="164" fontId="27" fillId="2" borderId="38" xfId="2" applyFont="1" applyFill="1" applyBorder="1"/>
    <xf numFmtId="4" fontId="28" fillId="26" borderId="7" xfId="11" applyNumberFormat="1" applyFont="1" applyFill="1" applyBorder="1" applyAlignment="1">
      <alignment horizontal="left"/>
    </xf>
    <xf numFmtId="4" fontId="0" fillId="5" borderId="8" xfId="5" applyNumberFormat="1" applyFont="1" applyBorder="1" applyAlignment="1">
      <alignment horizontal="left"/>
    </xf>
    <xf numFmtId="4" fontId="0" fillId="5" borderId="10" xfId="5" applyNumberFormat="1" applyFont="1" applyBorder="1" applyAlignment="1">
      <alignment horizontal="left"/>
    </xf>
    <xf numFmtId="4" fontId="0" fillId="5" borderId="13" xfId="5" applyNumberFormat="1" applyFont="1" applyBorder="1" applyAlignment="1">
      <alignment horizontal="left"/>
    </xf>
    <xf numFmtId="4" fontId="28" fillId="26" borderId="12" xfId="11" applyNumberFormat="1" applyFont="1" applyFill="1" applyBorder="1" applyAlignment="1">
      <alignment horizontal="left"/>
    </xf>
    <xf numFmtId="4" fontId="28" fillId="26" borderId="13" xfId="11" applyNumberFormat="1" applyFont="1" applyFill="1" applyBorder="1" applyAlignment="1">
      <alignment horizontal="left"/>
    </xf>
    <xf numFmtId="4" fontId="28" fillId="27" borderId="6" xfId="11" applyNumberFormat="1" applyFont="1" applyFill="1" applyBorder="1" applyAlignment="1">
      <alignment horizontal="left"/>
    </xf>
    <xf numFmtId="4" fontId="28" fillId="27" borderId="7" xfId="11" applyNumberFormat="1" applyFont="1" applyFill="1" applyBorder="1" applyAlignment="1">
      <alignment horizontal="left"/>
    </xf>
    <xf numFmtId="4" fontId="28" fillId="25" borderId="6" xfId="11" applyNumberFormat="1" applyFont="1" applyFill="1" applyBorder="1"/>
    <xf numFmtId="44" fontId="27" fillId="25" borderId="7" xfId="12" applyFont="1" applyFill="1" applyBorder="1" applyAlignment="1" applyProtection="1">
      <alignment horizontal="right"/>
      <protection hidden="1"/>
    </xf>
    <xf numFmtId="10" fontId="28" fillId="25" borderId="7" xfId="11" applyNumberFormat="1" applyFont="1" applyFill="1" applyBorder="1" applyAlignment="1" applyProtection="1">
      <alignment horizontal="right"/>
      <protection hidden="1"/>
    </xf>
    <xf numFmtId="44" fontId="27" fillId="26" borderId="7" xfId="12" applyFont="1" applyFill="1" applyBorder="1" applyProtection="1">
      <protection hidden="1"/>
    </xf>
    <xf numFmtId="164" fontId="11" fillId="0" borderId="34" xfId="2" applyFont="1" applyFill="1" applyBorder="1"/>
    <xf numFmtId="10" fontId="1" fillId="26" borderId="7" xfId="11" applyNumberFormat="1" applyFill="1" applyBorder="1" applyAlignment="1" applyProtection="1">
      <alignment horizontal="right"/>
      <protection hidden="1"/>
    </xf>
    <xf numFmtId="10" fontId="28" fillId="26" borderId="7" xfId="11" applyNumberFormat="1" applyFont="1" applyFill="1" applyBorder="1" applyProtection="1">
      <protection hidden="1"/>
    </xf>
    <xf numFmtId="44" fontId="27" fillId="26" borderId="6" xfId="12" applyFont="1" applyFill="1" applyBorder="1" applyProtection="1">
      <protection hidden="1"/>
    </xf>
    <xf numFmtId="10" fontId="1" fillId="26" borderId="6" xfId="11" applyNumberFormat="1" applyFill="1" applyBorder="1" applyAlignment="1" applyProtection="1">
      <alignment horizontal="right"/>
      <protection hidden="1"/>
    </xf>
    <xf numFmtId="10" fontId="28" fillId="26" borderId="6" xfId="11" applyNumberFormat="1" applyFont="1" applyFill="1" applyBorder="1" applyProtection="1">
      <protection hidden="1"/>
    </xf>
    <xf numFmtId="164" fontId="5" fillId="4" borderId="15" xfId="4" applyNumberFormat="1" applyFont="1" applyBorder="1"/>
    <xf numFmtId="164" fontId="0" fillId="0" borderId="0" xfId="0" applyNumberFormat="1"/>
    <xf numFmtId="14" fontId="0" fillId="0" borderId="0" xfId="0" applyNumberFormat="1"/>
    <xf numFmtId="164" fontId="11" fillId="28" borderId="23" xfId="2" applyFont="1" applyFill="1" applyBorder="1"/>
    <xf numFmtId="164" fontId="11" fillId="0" borderId="23" xfId="2" applyFont="1" applyFill="1" applyBorder="1"/>
    <xf numFmtId="4" fontId="26" fillId="12" borderId="45" xfId="3" applyNumberFormat="1" applyFont="1" applyFill="1" applyBorder="1" applyAlignment="1">
      <alignment horizontal="center" vertical="center" wrapText="1"/>
    </xf>
    <xf numFmtId="14" fontId="22" fillId="12" borderId="40" xfId="3" applyNumberFormat="1" applyFont="1" applyFill="1" applyBorder="1" applyAlignment="1">
      <alignment horizontal="center" vertical="center" wrapText="1"/>
    </xf>
    <xf numFmtId="9" fontId="15" fillId="12" borderId="46" xfId="3" applyNumberFormat="1" applyFont="1" applyFill="1" applyBorder="1" applyAlignment="1" applyProtection="1">
      <alignment horizontal="center" vertical="center" wrapText="1"/>
      <protection hidden="1"/>
    </xf>
    <xf numFmtId="4" fontId="5" fillId="15" borderId="47" xfId="10" applyNumberFormat="1" applyFont="1" applyFill="1" applyBorder="1" applyAlignment="1">
      <alignment horizontal="center"/>
    </xf>
    <xf numFmtId="10" fontId="5" fillId="15" borderId="48" xfId="10" applyNumberFormat="1" applyFont="1" applyFill="1" applyBorder="1" applyAlignment="1" applyProtection="1">
      <alignment horizontal="right"/>
      <protection hidden="1"/>
    </xf>
    <xf numFmtId="4" fontId="0" fillId="16" borderId="47" xfId="11" applyNumberFormat="1" applyFont="1" applyFill="1" applyBorder="1"/>
    <xf numFmtId="10" fontId="1" fillId="16" borderId="48" xfId="11" applyNumberFormat="1" applyFill="1" applyBorder="1" applyAlignment="1" applyProtection="1">
      <alignment horizontal="right"/>
      <protection hidden="1"/>
    </xf>
    <xf numFmtId="4" fontId="10" fillId="10" borderId="47" xfId="10" applyNumberFormat="1" applyFont="1" applyBorder="1" applyAlignment="1">
      <alignment horizontal="center"/>
    </xf>
    <xf numFmtId="10" fontId="10" fillId="10" borderId="48" xfId="10" applyNumberFormat="1" applyFont="1" applyBorder="1" applyAlignment="1" applyProtection="1">
      <alignment horizontal="right"/>
      <protection hidden="1"/>
    </xf>
    <xf numFmtId="4" fontId="5" fillId="21" borderId="47" xfId="10" applyNumberFormat="1" applyFont="1" applyFill="1" applyBorder="1" applyAlignment="1">
      <alignment horizontal="center"/>
    </xf>
    <xf numFmtId="10" fontId="5" fillId="21" borderId="48" xfId="10" applyNumberFormat="1" applyFont="1" applyFill="1" applyBorder="1" applyAlignment="1" applyProtection="1">
      <alignment horizontal="right"/>
      <protection hidden="1"/>
    </xf>
    <xf numFmtId="4" fontId="0" fillId="11" borderId="47" xfId="11" applyNumberFormat="1" applyFont="1" applyBorder="1"/>
    <xf numFmtId="10" fontId="1" fillId="11" borderId="48" xfId="11" applyNumberFormat="1" applyBorder="1" applyAlignment="1" applyProtection="1">
      <alignment horizontal="right"/>
      <protection hidden="1"/>
    </xf>
    <xf numFmtId="4" fontId="7" fillId="11" borderId="47" xfId="11" applyNumberFormat="1" applyFont="1" applyBorder="1"/>
    <xf numFmtId="10" fontId="1" fillId="11" borderId="48" xfId="1" applyNumberFormat="1" applyFill="1" applyBorder="1" applyAlignment="1" applyProtection="1">
      <alignment horizontal="right"/>
      <protection hidden="1"/>
    </xf>
    <xf numFmtId="4" fontId="5" fillId="8" borderId="47" xfId="8" applyNumberFormat="1" applyFont="1" applyBorder="1" applyAlignment="1">
      <alignment horizontal="center"/>
    </xf>
    <xf numFmtId="10" fontId="5" fillId="8" borderId="48" xfId="1" applyNumberFormat="1" applyFont="1" applyFill="1" applyBorder="1" applyAlignment="1" applyProtection="1">
      <alignment horizontal="right"/>
      <protection hidden="1"/>
    </xf>
    <xf numFmtId="4" fontId="0" fillId="9" borderId="47" xfId="9" applyNumberFormat="1" applyFont="1" applyBorder="1"/>
    <xf numFmtId="10" fontId="1" fillId="9" borderId="48" xfId="9" applyNumberFormat="1" applyBorder="1" applyAlignment="1" applyProtection="1">
      <alignment horizontal="right"/>
      <protection hidden="1"/>
    </xf>
    <xf numFmtId="10" fontId="5" fillId="8" borderId="48" xfId="8" applyNumberFormat="1" applyFont="1" applyBorder="1" applyAlignment="1" applyProtection="1">
      <alignment horizontal="right"/>
      <protection hidden="1"/>
    </xf>
    <xf numFmtId="4" fontId="0" fillId="9" borderId="47" xfId="9" applyNumberFormat="1" applyFont="1" applyBorder="1" applyAlignment="1">
      <alignment horizontal="left"/>
    </xf>
    <xf numFmtId="4" fontId="5" fillId="8" borderId="47" xfId="8" applyNumberFormat="1" applyFont="1" applyBorder="1"/>
    <xf numFmtId="10" fontId="8" fillId="8" borderId="48" xfId="8" applyNumberFormat="1" applyFont="1" applyBorder="1" applyAlignment="1" applyProtection="1">
      <alignment horizontal="right"/>
      <protection hidden="1"/>
    </xf>
    <xf numFmtId="4" fontId="13" fillId="17" borderId="47" xfId="10" applyNumberFormat="1" applyFont="1" applyFill="1" applyBorder="1" applyAlignment="1">
      <alignment horizontal="left"/>
    </xf>
    <xf numFmtId="10" fontId="9" fillId="17" borderId="48" xfId="10" applyNumberFormat="1" applyFont="1" applyFill="1" applyBorder="1" applyAlignment="1" applyProtection="1">
      <alignment horizontal="right"/>
      <protection hidden="1"/>
    </xf>
    <xf numFmtId="4" fontId="5" fillId="4" borderId="47" xfId="4" applyNumberFormat="1" applyFont="1" applyBorder="1" applyAlignment="1">
      <alignment horizontal="center" vertical="center"/>
    </xf>
    <xf numFmtId="0" fontId="5" fillId="4" borderId="48" xfId="4" applyFont="1" applyBorder="1" applyAlignment="1" applyProtection="1">
      <alignment horizontal="right"/>
      <protection hidden="1"/>
    </xf>
    <xf numFmtId="4" fontId="8" fillId="7" borderId="47" xfId="7" applyNumberFormat="1" applyFont="1" applyBorder="1" applyAlignment="1">
      <alignment horizontal="left"/>
    </xf>
    <xf numFmtId="10" fontId="9" fillId="7" borderId="48" xfId="7" applyNumberFormat="1" applyFont="1" applyBorder="1" applyAlignment="1" applyProtection="1">
      <alignment horizontal="right"/>
      <protection hidden="1"/>
    </xf>
    <xf numFmtId="4" fontId="0" fillId="5" borderId="47" xfId="5" applyNumberFormat="1" applyFont="1" applyBorder="1" applyAlignment="1">
      <alignment horizontal="left"/>
    </xf>
    <xf numFmtId="10" fontId="1" fillId="5" borderId="48" xfId="5" applyNumberFormat="1" applyBorder="1" applyAlignment="1" applyProtection="1">
      <alignment horizontal="right"/>
      <protection hidden="1"/>
    </xf>
    <xf numFmtId="4" fontId="8" fillId="7" borderId="47" xfId="7" applyNumberFormat="1" applyFont="1" applyBorder="1"/>
    <xf numFmtId="4" fontId="5" fillId="24" borderId="47" xfId="7" applyNumberFormat="1" applyFont="1" applyFill="1" applyBorder="1"/>
    <xf numFmtId="10" fontId="13" fillId="24" borderId="48" xfId="7" applyNumberFormat="1" applyFont="1" applyFill="1" applyBorder="1" applyAlignment="1" applyProtection="1">
      <alignment horizontal="right"/>
      <protection hidden="1"/>
    </xf>
    <xf numFmtId="4" fontId="10" fillId="13" borderId="47" xfId="7" applyNumberFormat="1" applyFont="1" applyFill="1" applyBorder="1"/>
    <xf numFmtId="10" fontId="14" fillId="7" borderId="48" xfId="1" applyNumberFormat="1" applyFont="1" applyFill="1" applyBorder="1" applyAlignment="1" applyProtection="1">
      <alignment horizontal="right"/>
      <protection hidden="1"/>
    </xf>
    <xf numFmtId="4" fontId="5" fillId="23" borderId="47" xfId="10" applyNumberFormat="1" applyFont="1" applyFill="1" applyBorder="1" applyAlignment="1">
      <alignment horizontal="center"/>
    </xf>
    <xf numFmtId="10" fontId="5" fillId="23" borderId="48" xfId="1" applyNumberFormat="1" applyFont="1" applyFill="1" applyBorder="1" applyAlignment="1" applyProtection="1">
      <alignment horizontal="right"/>
      <protection hidden="1"/>
    </xf>
    <xf numFmtId="4" fontId="10" fillId="18" borderId="47" xfId="0" applyNumberFormat="1" applyFont="1" applyFill="1" applyBorder="1"/>
    <xf numFmtId="0" fontId="10" fillId="18" borderId="48" xfId="0" applyFont="1" applyFill="1" applyBorder="1" applyAlignment="1" applyProtection="1">
      <alignment horizontal="right"/>
      <protection hidden="1"/>
    </xf>
    <xf numFmtId="4" fontId="18" fillId="7" borderId="47" xfId="7" applyNumberFormat="1" applyFont="1" applyBorder="1"/>
    <xf numFmtId="4" fontId="0" fillId="6" borderId="47" xfId="6" applyNumberFormat="1" applyFont="1" applyBorder="1" applyAlignment="1">
      <alignment horizontal="left"/>
    </xf>
    <xf numFmtId="10" fontId="1" fillId="6" borderId="48" xfId="6" applyNumberFormat="1" applyBorder="1" applyAlignment="1" applyProtection="1">
      <alignment horizontal="right"/>
      <protection hidden="1"/>
    </xf>
    <xf numFmtId="4" fontId="5" fillId="24" borderId="47" xfId="6" applyNumberFormat="1" applyFont="1" applyFill="1" applyBorder="1" applyAlignment="1">
      <alignment horizontal="left"/>
    </xf>
    <xf numFmtId="10" fontId="13" fillId="24" borderId="48" xfId="6" applyNumberFormat="1" applyFont="1" applyFill="1" applyBorder="1" applyAlignment="1" applyProtection="1">
      <alignment horizontal="right"/>
      <protection hidden="1"/>
    </xf>
    <xf numFmtId="4" fontId="8" fillId="15" borderId="47" xfId="10" applyNumberFormat="1" applyFont="1" applyFill="1" applyBorder="1" applyAlignment="1">
      <alignment horizontal="right"/>
    </xf>
    <xf numFmtId="164" fontId="8" fillId="15" borderId="48" xfId="10" applyNumberFormat="1" applyFont="1" applyFill="1" applyBorder="1" applyAlignment="1" applyProtection="1">
      <alignment horizontal="right" vertical="center"/>
      <protection hidden="1"/>
    </xf>
    <xf numFmtId="4" fontId="8" fillId="17" borderId="47" xfId="6" applyNumberFormat="1" applyFont="1" applyFill="1" applyBorder="1" applyAlignment="1">
      <alignment horizontal="right"/>
    </xf>
    <xf numFmtId="10" fontId="9" fillId="17" borderId="48" xfId="1" applyNumberFormat="1" applyFont="1" applyFill="1" applyBorder="1" applyAlignment="1" applyProtection="1">
      <alignment horizontal="right"/>
      <protection hidden="1"/>
    </xf>
    <xf numFmtId="4" fontId="8" fillId="20" borderId="47" xfId="6" applyNumberFormat="1" applyFont="1" applyFill="1" applyBorder="1" applyAlignment="1">
      <alignment horizontal="right"/>
    </xf>
    <xf numFmtId="10" fontId="9" fillId="20" borderId="48" xfId="1" applyNumberFormat="1" applyFont="1" applyFill="1" applyBorder="1" applyAlignment="1" applyProtection="1">
      <alignment horizontal="right"/>
      <protection hidden="1"/>
    </xf>
    <xf numFmtId="4" fontId="18" fillId="18" borderId="47" xfId="6" applyNumberFormat="1" applyFont="1" applyFill="1" applyBorder="1" applyAlignment="1">
      <alignment horizontal="right" vertical="center"/>
    </xf>
    <xf numFmtId="10" fontId="19" fillId="18" borderId="48" xfId="1" applyNumberFormat="1" applyFont="1" applyFill="1" applyBorder="1" applyAlignment="1" applyProtection="1">
      <alignment horizontal="right" vertical="center"/>
      <protection hidden="1"/>
    </xf>
    <xf numFmtId="4" fontId="10" fillId="14" borderId="47" xfId="4" applyNumberFormat="1" applyFont="1" applyFill="1" applyBorder="1" applyAlignment="1">
      <alignment horizontal="right"/>
    </xf>
    <xf numFmtId="10" fontId="14" fillId="13" borderId="48" xfId="1" applyNumberFormat="1" applyFont="1" applyFill="1" applyBorder="1" applyAlignment="1" applyProtection="1">
      <alignment horizontal="right"/>
      <protection hidden="1"/>
    </xf>
    <xf numFmtId="4" fontId="5" fillId="19" borderId="49" xfId="10" applyNumberFormat="1" applyFont="1" applyFill="1" applyBorder="1" applyAlignment="1">
      <alignment horizontal="right"/>
    </xf>
    <xf numFmtId="164" fontId="5" fillId="19" borderId="50" xfId="10" applyNumberFormat="1" applyFont="1" applyFill="1" applyBorder="1" applyAlignment="1">
      <alignment horizontal="center" vertical="center"/>
    </xf>
    <xf numFmtId="10" fontId="5" fillId="19" borderId="51" xfId="10" applyNumberFormat="1" applyFont="1" applyFill="1" applyBorder="1" applyAlignment="1" applyProtection="1">
      <alignment horizontal="right"/>
      <protection hidden="1"/>
    </xf>
    <xf numFmtId="14" fontId="22" fillId="12" borderId="30" xfId="3" applyNumberFormat="1" applyFont="1" applyFill="1" applyBorder="1" applyAlignment="1">
      <alignment horizontal="center" vertical="center" wrapText="1"/>
    </xf>
    <xf numFmtId="9" fontId="15" fillId="12" borderId="30" xfId="3" applyNumberFormat="1" applyFont="1" applyFill="1" applyBorder="1" applyAlignment="1" applyProtection="1">
      <alignment horizontal="center" vertical="center" wrapText="1"/>
      <protection hidden="1"/>
    </xf>
    <xf numFmtId="4" fontId="5" fillId="15" borderId="45" xfId="10" applyNumberFormat="1" applyFont="1" applyFill="1" applyBorder="1" applyAlignment="1">
      <alignment horizontal="center"/>
    </xf>
    <xf numFmtId="164" fontId="5" fillId="15" borderId="40" xfId="10" applyNumberFormat="1" applyFont="1" applyFill="1" applyBorder="1" applyAlignment="1">
      <alignment horizontal="center" vertical="center"/>
    </xf>
    <xf numFmtId="10" fontId="5" fillId="15" borderId="46" xfId="10" applyNumberFormat="1" applyFont="1" applyFill="1" applyBorder="1" applyAlignment="1" applyProtection="1">
      <alignment horizontal="right"/>
      <protection hidden="1"/>
    </xf>
    <xf numFmtId="14" fontId="29" fillId="12" borderId="40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44" fontId="6" fillId="0" borderId="0" xfId="0" applyNumberFormat="1" applyFont="1"/>
    <xf numFmtId="4" fontId="10" fillId="18" borderId="1" xfId="0" applyNumberFormat="1" applyFont="1" applyFill="1" applyBorder="1"/>
    <xf numFmtId="44" fontId="10" fillId="18" borderId="9" xfId="12" applyFont="1" applyFill="1" applyBorder="1" applyProtection="1">
      <protection hidden="1"/>
    </xf>
    <xf numFmtId="164" fontId="10" fillId="18" borderId="1" xfId="0" applyNumberFormat="1" applyFont="1" applyFill="1" applyBorder="1"/>
    <xf numFmtId="164" fontId="10" fillId="18" borderId="2" xfId="0" applyNumberFormat="1" applyFont="1" applyFill="1" applyBorder="1"/>
    <xf numFmtId="164" fontId="10" fillId="18" borderId="9" xfId="0" applyNumberFormat="1" applyFont="1" applyFill="1" applyBorder="1"/>
    <xf numFmtId="44" fontId="30" fillId="26" borderId="7" xfId="12" applyFont="1" applyFill="1" applyBorder="1" applyProtection="1">
      <protection hidden="1"/>
    </xf>
    <xf numFmtId="4" fontId="28" fillId="28" borderId="6" xfId="11" applyNumberFormat="1" applyFont="1" applyFill="1" applyBorder="1" applyAlignment="1">
      <alignment horizontal="left"/>
    </xf>
    <xf numFmtId="0" fontId="10" fillId="10" borderId="47" xfId="10" applyFont="1" applyBorder="1" applyAlignment="1">
      <alignment horizontal="center"/>
    </xf>
    <xf numFmtId="0" fontId="5" fillId="8" borderId="47" xfId="8" applyFont="1" applyBorder="1" applyAlignment="1">
      <alignment horizontal="center"/>
    </xf>
    <xf numFmtId="0" fontId="0" fillId="9" borderId="47" xfId="9" applyFont="1" applyBorder="1" applyAlignment="1">
      <alignment horizontal="left"/>
    </xf>
    <xf numFmtId="0" fontId="13" fillId="17" borderId="47" xfId="10" applyFont="1" applyFill="1" applyBorder="1" applyAlignment="1">
      <alignment horizontal="left"/>
    </xf>
    <xf numFmtId="0" fontId="5" fillId="4" borderId="47" xfId="4" applyFont="1" applyBorder="1" applyAlignment="1">
      <alignment horizontal="center" vertical="center"/>
    </xf>
    <xf numFmtId="0" fontId="8" fillId="7" borderId="47" xfId="7" applyFont="1" applyBorder="1" applyAlignment="1">
      <alignment horizontal="left"/>
    </xf>
    <xf numFmtId="0" fontId="0" fillId="5" borderId="47" xfId="5" applyFont="1" applyBorder="1" applyAlignment="1">
      <alignment horizontal="left"/>
    </xf>
    <xf numFmtId="0" fontId="10" fillId="18" borderId="47" xfId="0" applyFont="1" applyFill="1" applyBorder="1"/>
    <xf numFmtId="0" fontId="18" fillId="7" borderId="47" xfId="7" applyFont="1" applyBorder="1"/>
    <xf numFmtId="0" fontId="0" fillId="6" borderId="47" xfId="6" applyFont="1" applyBorder="1" applyAlignment="1">
      <alignment horizontal="left"/>
    </xf>
    <xf numFmtId="0" fontId="8" fillId="7" borderId="47" xfId="7" applyFont="1" applyBorder="1"/>
    <xf numFmtId="0" fontId="5" fillId="24" borderId="47" xfId="6" applyFont="1" applyFill="1" applyBorder="1" applyAlignment="1">
      <alignment horizontal="left"/>
    </xf>
    <xf numFmtId="0" fontId="8" fillId="17" borderId="47" xfId="6" applyFont="1" applyFill="1" applyBorder="1" applyAlignment="1">
      <alignment horizontal="right"/>
    </xf>
    <xf numFmtId="0" fontId="8" fillId="20" borderId="47" xfId="6" applyFont="1" applyFill="1" applyBorder="1" applyAlignment="1">
      <alignment horizontal="right"/>
    </xf>
    <xf numFmtId="0" fontId="18" fillId="18" borderId="47" xfId="6" applyFont="1" applyFill="1" applyBorder="1" applyAlignment="1">
      <alignment horizontal="right" vertical="center"/>
    </xf>
    <xf numFmtId="44" fontId="3" fillId="0" borderId="0" xfId="0" applyNumberFormat="1" applyFont="1"/>
    <xf numFmtId="44" fontId="5" fillId="15" borderId="5" xfId="12" applyFont="1" applyFill="1" applyBorder="1"/>
    <xf numFmtId="44" fontId="0" fillId="16" borderId="6" xfId="12" applyFont="1" applyFill="1" applyBorder="1" applyAlignment="1">
      <alignment horizontal="right"/>
    </xf>
    <xf numFmtId="44" fontId="0" fillId="16" borderId="7" xfId="12" applyFont="1" applyFill="1" applyBorder="1" applyAlignment="1">
      <alignment horizontal="right"/>
    </xf>
    <xf numFmtId="44" fontId="0" fillId="16" borderId="20" xfId="12" applyFont="1" applyFill="1" applyBorder="1" applyAlignment="1">
      <alignment horizontal="right"/>
    </xf>
    <xf numFmtId="44" fontId="10" fillId="10" borderId="5" xfId="12" applyFont="1" applyFill="1" applyBorder="1"/>
    <xf numFmtId="44" fontId="5" fillId="21" borderId="12" xfId="12" applyFont="1" applyFill="1" applyBorder="1"/>
    <xf numFmtId="44" fontId="0" fillId="11" borderId="6" xfId="12" applyFont="1" applyFill="1" applyBorder="1" applyAlignment="1">
      <alignment horizontal="right"/>
    </xf>
    <xf numFmtId="44" fontId="0" fillId="11" borderId="7" xfId="12" applyFont="1" applyFill="1" applyBorder="1" applyAlignment="1">
      <alignment horizontal="right"/>
    </xf>
    <xf numFmtId="44" fontId="11" fillId="25" borderId="7" xfId="12" applyFont="1" applyFill="1" applyBorder="1" applyAlignment="1">
      <alignment horizontal="right"/>
    </xf>
    <xf numFmtId="44" fontId="0" fillId="11" borderId="20" xfId="12" applyFont="1" applyFill="1" applyBorder="1" applyAlignment="1">
      <alignment horizontal="right"/>
    </xf>
    <xf numFmtId="44" fontId="5" fillId="21" borderId="5" xfId="12" applyFont="1" applyFill="1" applyBorder="1"/>
    <xf numFmtId="44" fontId="5" fillId="8" borderId="5" xfId="12" applyFont="1" applyFill="1" applyBorder="1"/>
    <xf numFmtId="44" fontId="0" fillId="9" borderId="6" xfId="12" applyFont="1" applyFill="1" applyBorder="1"/>
    <xf numFmtId="44" fontId="0" fillId="9" borderId="7" xfId="12" applyFont="1" applyFill="1" applyBorder="1"/>
    <xf numFmtId="44" fontId="0" fillId="9" borderId="20" xfId="12" applyFont="1" applyFill="1" applyBorder="1"/>
    <xf numFmtId="44" fontId="13" fillId="17" borderId="11" xfId="12" applyFont="1" applyFill="1" applyBorder="1"/>
    <xf numFmtId="44" fontId="5" fillId="4" borderId="2" xfId="12" applyFont="1" applyFill="1" applyBorder="1" applyAlignment="1">
      <alignment horizontal="center"/>
    </xf>
    <xf numFmtId="44" fontId="9" fillId="7" borderId="12" xfId="12" applyFont="1" applyFill="1" applyBorder="1"/>
    <xf numFmtId="44" fontId="0" fillId="5" borderId="6" xfId="12" applyFont="1" applyFill="1" applyBorder="1"/>
    <xf numFmtId="44" fontId="0" fillId="5" borderId="7" xfId="12" applyFont="1" applyFill="1" applyBorder="1"/>
    <xf numFmtId="44" fontId="0" fillId="5" borderId="20" xfId="12" applyFont="1" applyFill="1" applyBorder="1"/>
    <xf numFmtId="44" fontId="9" fillId="7" borderId="5" xfId="12" applyFont="1" applyFill="1" applyBorder="1"/>
    <xf numFmtId="44" fontId="11" fillId="26" borderId="7" xfId="12" applyFont="1" applyFill="1" applyBorder="1"/>
    <xf numFmtId="44" fontId="11" fillId="26" borderId="6" xfId="12" applyFont="1" applyFill="1" applyBorder="1"/>
    <xf numFmtId="44" fontId="13" fillId="24" borderId="5" xfId="12" applyFont="1" applyFill="1" applyBorder="1"/>
    <xf numFmtId="44" fontId="14" fillId="7" borderId="12" xfId="12" applyFont="1" applyFill="1" applyBorder="1"/>
    <xf numFmtId="44" fontId="5" fillId="23" borderId="12" xfId="12" applyFont="1" applyFill="1" applyBorder="1"/>
    <xf numFmtId="44" fontId="0" fillId="11" borderId="6" xfId="12" applyFont="1" applyFill="1" applyBorder="1"/>
    <xf numFmtId="44" fontId="0" fillId="11" borderId="7" xfId="12" applyFont="1" applyFill="1" applyBorder="1"/>
    <xf numFmtId="44" fontId="0" fillId="11" borderId="20" xfId="12" applyFont="1" applyFill="1" applyBorder="1"/>
    <xf numFmtId="44" fontId="10" fillId="18" borderId="5" xfId="12" applyFont="1" applyFill="1" applyBorder="1"/>
    <xf numFmtId="44" fontId="0" fillId="6" borderId="6" xfId="12" applyFont="1" applyFill="1" applyBorder="1"/>
    <xf numFmtId="44" fontId="0" fillId="6" borderId="7" xfId="12" applyFont="1" applyFill="1" applyBorder="1"/>
    <xf numFmtId="44" fontId="0" fillId="6" borderId="20" xfId="12" applyFont="1" applyFill="1" applyBorder="1"/>
    <xf numFmtId="44" fontId="8" fillId="15" borderId="12" xfId="12" applyFont="1" applyFill="1" applyBorder="1" applyAlignment="1">
      <alignment horizontal="center" vertical="center"/>
    </xf>
    <xf numFmtId="44" fontId="9" fillId="17" borderId="12" xfId="12" applyFont="1" applyFill="1" applyBorder="1"/>
    <xf numFmtId="44" fontId="9" fillId="20" borderId="12" xfId="12" applyFont="1" applyFill="1" applyBorder="1"/>
    <xf numFmtId="44" fontId="19" fillId="18" borderId="12" xfId="12" applyFont="1" applyFill="1" applyBorder="1" applyAlignment="1">
      <alignment vertical="center"/>
    </xf>
    <xf numFmtId="44" fontId="14" fillId="13" borderId="12" xfId="12" applyFont="1" applyFill="1" applyBorder="1"/>
    <xf numFmtId="44" fontId="5" fillId="15" borderId="12" xfId="12" applyFont="1" applyFill="1" applyBorder="1"/>
    <xf numFmtId="44" fontId="0" fillId="16" borderId="6" xfId="12" applyFont="1" applyFill="1" applyBorder="1"/>
    <xf numFmtId="164" fontId="11" fillId="0" borderId="16" xfId="2" applyFont="1" applyFill="1" applyBorder="1"/>
    <xf numFmtId="164" fontId="27" fillId="0" borderId="23" xfId="2" applyFont="1" applyFill="1" applyBorder="1"/>
    <xf numFmtId="164" fontId="27" fillId="0" borderId="16" xfId="2" applyFont="1" applyFill="1" applyBorder="1"/>
    <xf numFmtId="4" fontId="0" fillId="26" borderId="7" xfId="5" applyNumberFormat="1" applyFont="1" applyFill="1" applyBorder="1" applyAlignment="1">
      <alignment horizontal="left"/>
    </xf>
    <xf numFmtId="10" fontId="1" fillId="9" borderId="22" xfId="9" applyNumberFormat="1" applyBorder="1" applyAlignment="1" applyProtection="1">
      <alignment horizontal="right"/>
      <protection hidden="1"/>
    </xf>
    <xf numFmtId="10" fontId="1" fillId="9" borderId="32" xfId="9" applyNumberFormat="1" applyBorder="1" applyAlignment="1" applyProtection="1">
      <alignment horizontal="right"/>
      <protection hidden="1"/>
    </xf>
    <xf numFmtId="10" fontId="9" fillId="17" borderId="22" xfId="10" applyNumberFormat="1" applyFont="1" applyFill="1" applyBorder="1" applyAlignment="1" applyProtection="1">
      <alignment horizontal="right"/>
      <protection hidden="1"/>
    </xf>
    <xf numFmtId="0" fontId="5" fillId="4" borderId="9" xfId="4" applyFont="1" applyBorder="1" applyAlignment="1" applyProtection="1">
      <alignment horizontal="right"/>
      <protection hidden="1"/>
    </xf>
    <xf numFmtId="10" fontId="9" fillId="7" borderId="14" xfId="7" applyNumberFormat="1" applyFont="1" applyBorder="1" applyAlignment="1" applyProtection="1">
      <alignment horizontal="right"/>
      <protection hidden="1"/>
    </xf>
    <xf numFmtId="10" fontId="1" fillId="5" borderId="24" xfId="5" applyNumberFormat="1" applyBorder="1" applyAlignment="1" applyProtection="1">
      <alignment horizontal="right"/>
      <protection hidden="1"/>
    </xf>
    <xf numFmtId="10" fontId="1" fillId="5" borderId="32" xfId="5" applyNumberFormat="1" applyBorder="1" applyAlignment="1" applyProtection="1">
      <alignment horizontal="right"/>
      <protection hidden="1"/>
    </xf>
    <xf numFmtId="10" fontId="9" fillId="7" borderId="9" xfId="7" applyNumberFormat="1" applyFont="1" applyBorder="1" applyAlignment="1" applyProtection="1">
      <alignment horizontal="right"/>
      <protection hidden="1"/>
    </xf>
    <xf numFmtId="10" fontId="28" fillId="26" borderId="7" xfId="11" applyNumberFormat="1" applyFont="1" applyFill="1" applyBorder="1" applyAlignment="1" applyProtection="1">
      <alignment horizontal="right"/>
      <protection hidden="1"/>
    </xf>
    <xf numFmtId="10" fontId="28" fillId="26" borderId="6" xfId="11" applyNumberFormat="1" applyFont="1" applyFill="1" applyBorder="1" applyAlignment="1" applyProtection="1">
      <alignment horizontal="right"/>
      <protection hidden="1"/>
    </xf>
    <xf numFmtId="10" fontId="13" fillId="24" borderId="9" xfId="7" applyNumberFormat="1" applyFont="1" applyFill="1" applyBorder="1" applyAlignment="1" applyProtection="1">
      <alignment horizontal="right"/>
      <protection hidden="1"/>
    </xf>
    <xf numFmtId="10" fontId="14" fillId="7" borderId="14" xfId="1" applyNumberFormat="1" applyFont="1" applyFill="1" applyBorder="1" applyAlignment="1" applyProtection="1">
      <alignment horizontal="right"/>
      <protection hidden="1"/>
    </xf>
    <xf numFmtId="10" fontId="5" fillId="23" borderId="12" xfId="1" applyNumberFormat="1" applyFont="1" applyFill="1" applyBorder="1" applyAlignment="1" applyProtection="1">
      <alignment horizontal="right"/>
      <protection hidden="1"/>
    </xf>
    <xf numFmtId="10" fontId="5" fillId="21" borderId="12" xfId="10" applyNumberFormat="1" applyFont="1" applyFill="1" applyBorder="1" applyAlignment="1" applyProtection="1">
      <alignment horizontal="right"/>
      <protection hidden="1"/>
    </xf>
    <xf numFmtId="0" fontId="10" fillId="18" borderId="9" xfId="0" applyFont="1" applyFill="1" applyBorder="1" applyAlignment="1" applyProtection="1">
      <alignment horizontal="right"/>
      <protection hidden="1"/>
    </xf>
    <xf numFmtId="10" fontId="1" fillId="6" borderId="24" xfId="6" applyNumberFormat="1" applyBorder="1" applyAlignment="1" applyProtection="1">
      <alignment horizontal="right"/>
      <protection hidden="1"/>
    </xf>
    <xf numFmtId="10" fontId="1" fillId="6" borderId="32" xfId="6" applyNumberFormat="1" applyBorder="1" applyAlignment="1" applyProtection="1">
      <alignment horizontal="right"/>
      <protection hidden="1"/>
    </xf>
    <xf numFmtId="10" fontId="13" fillId="24" borderId="9" xfId="6" applyNumberFormat="1" applyFont="1" applyFill="1" applyBorder="1" applyAlignment="1" applyProtection="1">
      <alignment horizontal="right"/>
      <protection hidden="1"/>
    </xf>
    <xf numFmtId="164" fontId="8" fillId="15" borderId="14" xfId="10" applyNumberFormat="1" applyFont="1" applyFill="1" applyBorder="1" applyAlignment="1" applyProtection="1">
      <alignment horizontal="right" vertical="center"/>
      <protection hidden="1"/>
    </xf>
    <xf numFmtId="10" fontId="9" fillId="17" borderId="14" xfId="1" applyNumberFormat="1" applyFont="1" applyFill="1" applyBorder="1" applyAlignment="1" applyProtection="1">
      <alignment horizontal="right"/>
      <protection hidden="1"/>
    </xf>
    <xf numFmtId="10" fontId="9" fillId="20" borderId="14" xfId="1" applyNumberFormat="1" applyFont="1" applyFill="1" applyBorder="1" applyAlignment="1" applyProtection="1">
      <alignment horizontal="right"/>
      <protection hidden="1"/>
    </xf>
    <xf numFmtId="10" fontId="14" fillId="13" borderId="14" xfId="1" applyNumberFormat="1" applyFont="1" applyFill="1" applyBorder="1" applyAlignment="1" applyProtection="1">
      <alignment horizontal="right"/>
      <protection hidden="1"/>
    </xf>
    <xf numFmtId="10" fontId="5" fillId="15" borderId="14" xfId="10" applyNumberFormat="1" applyFont="1" applyFill="1" applyBorder="1" applyAlignment="1" applyProtection="1">
      <alignment horizontal="right"/>
      <protection hidden="1"/>
    </xf>
    <xf numFmtId="10" fontId="1" fillId="16" borderId="24" xfId="11" applyNumberFormat="1" applyFill="1" applyBorder="1" applyAlignment="1" applyProtection="1">
      <alignment horizontal="right"/>
      <protection hidden="1"/>
    </xf>
    <xf numFmtId="10" fontId="5" fillId="19" borderId="9" xfId="10" applyNumberFormat="1" applyFont="1" applyFill="1" applyBorder="1" applyAlignment="1" applyProtection="1">
      <alignment horizontal="right"/>
      <protection hidden="1"/>
    </xf>
    <xf numFmtId="4" fontId="0" fillId="0" borderId="0" xfId="0" applyNumberFormat="1"/>
    <xf numFmtId="10" fontId="3" fillId="0" borderId="0" xfId="1" applyNumberFormat="1" applyFont="1"/>
    <xf numFmtId="14" fontId="17" fillId="0" borderId="0" xfId="0" applyNumberFormat="1" applyFont="1" applyAlignment="1">
      <alignment horizontal="center"/>
    </xf>
    <xf numFmtId="44" fontId="31" fillId="0" borderId="23" xfId="12" applyFont="1" applyBorder="1"/>
    <xf numFmtId="44" fontId="20" fillId="0" borderId="23" xfId="12" applyFont="1" applyBorder="1" applyAlignment="1">
      <alignment vertical="center"/>
    </xf>
    <xf numFmtId="10" fontId="5" fillId="15" borderId="5" xfId="10" applyNumberFormat="1" applyFont="1" applyFill="1" applyBorder="1"/>
    <xf numFmtId="10" fontId="0" fillId="16" borderId="6" xfId="11" applyNumberFormat="1" applyFont="1" applyFill="1" applyBorder="1" applyAlignment="1">
      <alignment horizontal="right"/>
    </xf>
    <xf numFmtId="10" fontId="0" fillId="16" borderId="7" xfId="11" applyNumberFormat="1" applyFont="1" applyFill="1" applyBorder="1" applyAlignment="1">
      <alignment horizontal="right"/>
    </xf>
    <xf numFmtId="10" fontId="0" fillId="16" borderId="20" xfId="11" applyNumberFormat="1" applyFont="1" applyFill="1" applyBorder="1" applyAlignment="1">
      <alignment horizontal="right"/>
    </xf>
    <xf numFmtId="10" fontId="10" fillId="10" borderId="5" xfId="10" applyNumberFormat="1" applyFont="1" applyBorder="1" applyAlignment="1">
      <alignment horizontal="right"/>
    </xf>
    <xf numFmtId="10" fontId="5" fillId="21" borderId="12" xfId="10" applyNumberFormat="1" applyFont="1" applyFill="1" applyBorder="1"/>
    <xf numFmtId="10" fontId="0" fillId="11" borderId="6" xfId="11" applyNumberFormat="1" applyFont="1" applyBorder="1" applyAlignment="1">
      <alignment horizontal="right"/>
    </xf>
    <xf numFmtId="10" fontId="0" fillId="11" borderId="7" xfId="11" applyNumberFormat="1" applyFont="1" applyBorder="1" applyAlignment="1">
      <alignment horizontal="right"/>
    </xf>
    <xf numFmtId="10" fontId="0" fillId="11" borderId="20" xfId="11" applyNumberFormat="1" applyFont="1" applyBorder="1" applyAlignment="1">
      <alignment horizontal="right"/>
    </xf>
    <xf numFmtId="10" fontId="5" fillId="21" borderId="5" xfId="10" applyNumberFormat="1" applyFont="1" applyFill="1" applyBorder="1"/>
    <xf numFmtId="10" fontId="0" fillId="11" borderId="20" xfId="1" applyNumberFormat="1" applyFont="1" applyFill="1" applyBorder="1" applyAlignment="1">
      <alignment horizontal="right"/>
    </xf>
    <xf numFmtId="10" fontId="5" fillId="8" borderId="5" xfId="1" applyNumberFormat="1" applyFont="1" applyFill="1" applyBorder="1"/>
    <xf numFmtId="10" fontId="0" fillId="9" borderId="6" xfId="9" applyNumberFormat="1" applyFont="1" applyBorder="1" applyAlignment="1">
      <alignment horizontal="right"/>
    </xf>
    <xf numFmtId="10" fontId="8" fillId="8" borderId="5" xfId="8" applyNumberFormat="1" applyFont="1" applyBorder="1" applyAlignment="1">
      <alignment horizontal="right"/>
    </xf>
    <xf numFmtId="10" fontId="9" fillId="17" borderId="11" xfId="10" applyNumberFormat="1" applyFont="1" applyFill="1" applyBorder="1" applyAlignment="1">
      <alignment horizontal="right"/>
    </xf>
    <xf numFmtId="0" fontId="5" fillId="4" borderId="2" xfId="4" applyFont="1" applyBorder="1" applyAlignment="1">
      <alignment horizontal="center"/>
    </xf>
    <xf numFmtId="10" fontId="9" fillId="7" borderId="12" xfId="7" applyNumberFormat="1" applyFont="1" applyBorder="1"/>
    <xf numFmtId="10" fontId="0" fillId="5" borderId="6" xfId="5" applyNumberFormat="1" applyFont="1" applyBorder="1" applyAlignment="1">
      <alignment horizontal="right"/>
    </xf>
    <xf numFmtId="10" fontId="0" fillId="5" borderId="7" xfId="5" applyNumberFormat="1" applyFont="1" applyBorder="1" applyAlignment="1">
      <alignment horizontal="right"/>
    </xf>
    <xf numFmtId="10" fontId="0" fillId="5" borderId="20" xfId="5" applyNumberFormat="1" applyFont="1" applyBorder="1" applyAlignment="1">
      <alignment horizontal="right"/>
    </xf>
    <xf numFmtId="10" fontId="9" fillId="7" borderId="5" xfId="7" applyNumberFormat="1" applyFont="1" applyBorder="1"/>
    <xf numFmtId="10" fontId="0" fillId="26" borderId="7" xfId="11" applyNumberFormat="1" applyFont="1" applyFill="1" applyBorder="1" applyAlignment="1">
      <alignment horizontal="right"/>
    </xf>
    <xf numFmtId="10" fontId="0" fillId="26" borderId="6" xfId="11" applyNumberFormat="1" applyFont="1" applyFill="1" applyBorder="1" applyAlignment="1">
      <alignment horizontal="right"/>
    </xf>
    <xf numFmtId="10" fontId="13" fillId="24" borderId="5" xfId="7" applyNumberFormat="1" applyFont="1" applyFill="1" applyBorder="1" applyAlignment="1">
      <alignment horizontal="right"/>
    </xf>
    <xf numFmtId="10" fontId="14" fillId="7" borderId="12" xfId="1" applyNumberFormat="1" applyFont="1" applyFill="1" applyBorder="1" applyAlignment="1">
      <alignment horizontal="right"/>
    </xf>
    <xf numFmtId="10" fontId="5" fillId="23" borderId="12" xfId="1" applyNumberFormat="1" applyFont="1" applyFill="1" applyBorder="1"/>
    <xf numFmtId="10" fontId="5" fillId="21" borderId="5" xfId="10" applyNumberFormat="1" applyFont="1" applyFill="1" applyBorder="1" applyAlignment="1">
      <alignment horizontal="right"/>
    </xf>
    <xf numFmtId="0" fontId="10" fillId="18" borderId="5" xfId="0" applyFont="1" applyFill="1" applyBorder="1"/>
    <xf numFmtId="10" fontId="0" fillId="6" borderId="6" xfId="6" applyNumberFormat="1" applyFont="1" applyBorder="1"/>
    <xf numFmtId="10" fontId="0" fillId="6" borderId="7" xfId="6" applyNumberFormat="1" applyFont="1" applyBorder="1"/>
    <xf numFmtId="10" fontId="0" fillId="6" borderId="20" xfId="6" applyNumberFormat="1" applyFont="1" applyBorder="1"/>
    <xf numFmtId="10" fontId="13" fillId="24" borderId="5" xfId="6" applyNumberFormat="1" applyFont="1" applyFill="1" applyBorder="1"/>
    <xf numFmtId="10" fontId="9" fillId="17" borderId="12" xfId="1" applyNumberFormat="1" applyFont="1" applyFill="1" applyBorder="1"/>
    <xf numFmtId="10" fontId="9" fillId="20" borderId="12" xfId="1" applyNumberFormat="1" applyFont="1" applyFill="1" applyBorder="1"/>
    <xf numFmtId="10" fontId="19" fillId="18" borderId="12" xfId="1" applyNumberFormat="1" applyFont="1" applyFill="1" applyBorder="1" applyAlignment="1">
      <alignment vertical="center"/>
    </xf>
    <xf numFmtId="10" fontId="14" fillId="13" borderId="12" xfId="1" applyNumberFormat="1" applyFont="1" applyFill="1" applyBorder="1"/>
    <xf numFmtId="10" fontId="5" fillId="15" borderId="12" xfId="10" applyNumberFormat="1" applyFont="1" applyFill="1" applyBorder="1" applyAlignment="1">
      <alignment horizontal="right"/>
    </xf>
    <xf numFmtId="44" fontId="0" fillId="16" borderId="7" xfId="12" applyFont="1" applyFill="1" applyBorder="1"/>
    <xf numFmtId="44" fontId="5" fillId="19" borderId="53" xfId="12" applyFont="1" applyFill="1" applyBorder="1"/>
    <xf numFmtId="10" fontId="5" fillId="19" borderId="53" xfId="10" applyNumberFormat="1" applyFont="1" applyFill="1" applyBorder="1" applyAlignment="1">
      <alignment horizontal="right"/>
    </xf>
    <xf numFmtId="10" fontId="5" fillId="21" borderId="12" xfId="10" applyNumberFormat="1" applyFont="1" applyFill="1" applyBorder="1" applyAlignment="1">
      <alignment horizontal="right"/>
    </xf>
    <xf numFmtId="164" fontId="11" fillId="0" borderId="18" xfId="2" applyFont="1" applyFill="1" applyBorder="1"/>
    <xf numFmtId="164" fontId="11" fillId="0" borderId="27" xfId="2" applyFont="1" applyFill="1" applyBorder="1"/>
    <xf numFmtId="164" fontId="11" fillId="0" borderId="33" xfId="2" applyFont="1" applyFill="1" applyBorder="1"/>
    <xf numFmtId="44" fontId="6" fillId="0" borderId="0" xfId="12" applyFont="1" applyAlignment="1">
      <alignment horizontal="center"/>
    </xf>
    <xf numFmtId="10" fontId="0" fillId="16" borderId="7" xfId="11" applyNumberFormat="1" applyFont="1" applyFill="1" applyBorder="1" applyAlignment="1" applyProtection="1">
      <alignment horizontal="right"/>
      <protection hidden="1"/>
    </xf>
    <xf numFmtId="164" fontId="11" fillId="16" borderId="25" xfId="2" applyFont="1" applyFill="1" applyBorder="1"/>
    <xf numFmtId="164" fontId="11" fillId="16" borderId="37" xfId="2" applyFont="1" applyFill="1" applyBorder="1"/>
    <xf numFmtId="164" fontId="11" fillId="16" borderId="38" xfId="2" applyFont="1" applyFill="1" applyBorder="1"/>
    <xf numFmtId="4" fontId="0" fillId="16" borderId="47" xfId="11" applyNumberFormat="1" applyFont="1" applyFill="1" applyBorder="1" applyAlignment="1">
      <alignment horizontal="left"/>
    </xf>
    <xf numFmtId="4" fontId="34" fillId="16" borderId="47" xfId="11" applyNumberFormat="1" applyFont="1" applyFill="1" applyBorder="1"/>
    <xf numFmtId="164" fontId="35" fillId="0" borderId="23" xfId="2" applyFont="1" applyBorder="1"/>
    <xf numFmtId="10" fontId="34" fillId="16" borderId="7" xfId="11" applyNumberFormat="1" applyFont="1" applyFill="1" applyBorder="1" applyAlignment="1" applyProtection="1">
      <alignment horizontal="right"/>
      <protection hidden="1"/>
    </xf>
    <xf numFmtId="4" fontId="36" fillId="16" borderId="47" xfId="11" applyNumberFormat="1" applyFont="1" applyFill="1" applyBorder="1"/>
    <xf numFmtId="164" fontId="37" fillId="0" borderId="23" xfId="2" applyFont="1" applyBorder="1"/>
    <xf numFmtId="10" fontId="36" fillId="16" borderId="7" xfId="11" applyNumberFormat="1" applyFont="1" applyFill="1" applyBorder="1" applyAlignment="1" applyProtection="1">
      <alignment horizontal="right"/>
      <protection hidden="1"/>
    </xf>
    <xf numFmtId="10" fontId="0" fillId="16" borderId="11" xfId="11" applyNumberFormat="1" applyFont="1" applyFill="1" applyBorder="1" applyAlignment="1">
      <alignment horizontal="right"/>
    </xf>
    <xf numFmtId="44" fontId="0" fillId="16" borderId="11" xfId="12" applyFont="1" applyFill="1" applyBorder="1"/>
    <xf numFmtId="10" fontId="1" fillId="6" borderId="7" xfId="6" applyNumberFormat="1" applyBorder="1" applyAlignment="1" applyProtection="1">
      <alignment horizontal="right"/>
      <protection hidden="1"/>
    </xf>
    <xf numFmtId="10" fontId="1" fillId="6" borderId="20" xfId="6" applyNumberFormat="1" applyBorder="1" applyAlignment="1" applyProtection="1">
      <alignment horizontal="right"/>
      <protection hidden="1"/>
    </xf>
    <xf numFmtId="10" fontId="13" fillId="24" borderId="5" xfId="6" applyNumberFormat="1" applyFont="1" applyFill="1" applyBorder="1" applyAlignment="1" applyProtection="1">
      <alignment horizontal="right"/>
      <protection hidden="1"/>
    </xf>
    <xf numFmtId="164" fontId="8" fillId="15" borderId="12" xfId="10" applyNumberFormat="1" applyFont="1" applyFill="1" applyBorder="1" applyAlignment="1" applyProtection="1">
      <alignment horizontal="right" vertical="center"/>
      <protection hidden="1"/>
    </xf>
    <xf numFmtId="10" fontId="9" fillId="17" borderId="12" xfId="1" applyNumberFormat="1" applyFont="1" applyFill="1" applyBorder="1" applyAlignment="1" applyProtection="1">
      <alignment horizontal="right"/>
      <protection hidden="1"/>
    </xf>
    <xf numFmtId="10" fontId="9" fillId="20" borderId="12" xfId="1" applyNumberFormat="1" applyFont="1" applyFill="1" applyBorder="1" applyAlignment="1" applyProtection="1">
      <alignment horizontal="right"/>
      <protection hidden="1"/>
    </xf>
    <xf numFmtId="10" fontId="19" fillId="18" borderId="12" xfId="1" applyNumberFormat="1" applyFont="1" applyFill="1" applyBorder="1" applyAlignment="1" applyProtection="1">
      <alignment horizontal="right" vertical="center"/>
      <protection hidden="1"/>
    </xf>
    <xf numFmtId="43" fontId="0" fillId="0" borderId="0" xfId="0" applyNumberFormat="1"/>
    <xf numFmtId="164" fontId="3" fillId="0" borderId="0" xfId="0" applyNumberFormat="1" applyFont="1"/>
    <xf numFmtId="4" fontId="38" fillId="12" borderId="45" xfId="3" applyNumberFormat="1" applyFont="1" applyFill="1" applyBorder="1" applyAlignment="1">
      <alignment horizontal="center" vertical="center" wrapText="1"/>
    </xf>
    <xf numFmtId="4" fontId="5" fillId="23" borderId="47" xfId="10" applyNumberFormat="1" applyFont="1" applyFill="1" applyBorder="1" applyAlignment="1">
      <alignment horizontal="left"/>
    </xf>
    <xf numFmtId="4" fontId="5" fillId="21" borderId="47" xfId="10" applyNumberFormat="1" applyFont="1" applyFill="1" applyBorder="1" applyAlignment="1">
      <alignment horizontal="left"/>
    </xf>
    <xf numFmtId="4" fontId="0" fillId="11" borderId="47" xfId="11" applyNumberFormat="1" applyFont="1" applyBorder="1" applyAlignment="1">
      <alignment horizontal="left"/>
    </xf>
    <xf numFmtId="9" fontId="33" fillId="12" borderId="8" xfId="3" applyNumberFormat="1" applyFont="1" applyFill="1" applyBorder="1" applyAlignment="1" applyProtection="1">
      <alignment horizontal="center" vertical="center" wrapText="1"/>
      <protection hidden="1"/>
    </xf>
    <xf numFmtId="10" fontId="0" fillId="16" borderId="7" xfId="11" applyNumberFormat="1" applyFont="1" applyFill="1" applyBorder="1" applyProtection="1">
      <protection hidden="1"/>
    </xf>
    <xf numFmtId="164" fontId="11" fillId="28" borderId="16" xfId="2" applyFont="1" applyFill="1" applyBorder="1"/>
    <xf numFmtId="164" fontId="11" fillId="28" borderId="27" xfId="2" applyFont="1" applyFill="1" applyBorder="1"/>
    <xf numFmtId="10" fontId="39" fillId="16" borderId="7" xfId="11" applyNumberFormat="1" applyFont="1" applyFill="1" applyBorder="1" applyAlignment="1" applyProtection="1">
      <alignment horizontal="right"/>
      <protection hidden="1"/>
    </xf>
    <xf numFmtId="44" fontId="29" fillId="12" borderId="8" xfId="12" applyFont="1" applyFill="1" applyBorder="1" applyAlignment="1">
      <alignment horizontal="center" vertical="center" wrapText="1"/>
    </xf>
    <xf numFmtId="4" fontId="40" fillId="12" borderId="45" xfId="3" applyNumberFormat="1" applyFont="1" applyFill="1" applyBorder="1" applyAlignment="1">
      <alignment horizontal="center" vertical="center" wrapText="1"/>
    </xf>
    <xf numFmtId="10" fontId="6" fillId="0" borderId="0" xfId="0" applyNumberFormat="1" applyFont="1"/>
    <xf numFmtId="10" fontId="14" fillId="13" borderId="12" xfId="1" applyNumberFormat="1" applyFont="1" applyFill="1" applyBorder="1" applyAlignment="1" applyProtection="1">
      <alignment horizontal="right"/>
      <protection hidden="1"/>
    </xf>
    <xf numFmtId="44" fontId="0" fillId="19" borderId="0" xfId="0" applyNumberFormat="1" applyFill="1"/>
    <xf numFmtId="44" fontId="22" fillId="12" borderId="52" xfId="12" applyFont="1" applyFill="1" applyBorder="1" applyAlignment="1">
      <alignment horizontal="center" vertical="center" wrapText="1"/>
    </xf>
    <xf numFmtId="9" fontId="15" fillId="12" borderId="52" xfId="3" applyNumberFormat="1" applyFont="1" applyFill="1" applyBorder="1" applyAlignment="1">
      <alignment horizontal="center" vertical="center" wrapText="1"/>
    </xf>
    <xf numFmtId="10" fontId="5" fillId="8" borderId="5" xfId="8" applyNumberFormat="1" applyFont="1" applyBorder="1"/>
    <xf numFmtId="0" fontId="0" fillId="19" borderId="0" xfId="0" applyFill="1"/>
    <xf numFmtId="10" fontId="1" fillId="28" borderId="7" xfId="5" applyNumberFormat="1" applyFill="1" applyBorder="1" applyAlignment="1" applyProtection="1">
      <alignment horizontal="right"/>
      <protection hidden="1"/>
    </xf>
    <xf numFmtId="0" fontId="0" fillId="21" borderId="0" xfId="0" applyFill="1"/>
    <xf numFmtId="0" fontId="0" fillId="28" borderId="0" xfId="0" applyFill="1"/>
    <xf numFmtId="10" fontId="1" fillId="28" borderId="20" xfId="5" applyNumberFormat="1" applyFill="1" applyBorder="1" applyAlignment="1" applyProtection="1">
      <alignment horizontal="right"/>
      <protection hidden="1"/>
    </xf>
    <xf numFmtId="10" fontId="1" fillId="28" borderId="6" xfId="5" applyNumberFormat="1" applyFill="1" applyBorder="1" applyAlignment="1" applyProtection="1">
      <alignment horizontal="right"/>
      <protection hidden="1"/>
    </xf>
    <xf numFmtId="0" fontId="6" fillId="21" borderId="0" xfId="0" applyFont="1" applyFill="1"/>
    <xf numFmtId="0" fontId="17" fillId="28" borderId="0" xfId="0" applyFont="1" applyFill="1"/>
    <xf numFmtId="10" fontId="1" fillId="28" borderId="6" xfId="9" applyNumberFormat="1" applyFill="1" applyBorder="1" applyAlignment="1" applyProtection="1">
      <alignment horizontal="right"/>
      <protection hidden="1"/>
    </xf>
    <xf numFmtId="44" fontId="0" fillId="0" borderId="0" xfId="12" applyFont="1" applyAlignment="1">
      <alignment horizontal="center"/>
    </xf>
    <xf numFmtId="44" fontId="0" fillId="0" borderId="0" xfId="0" applyNumberFormat="1" applyAlignment="1">
      <alignment horizontal="center"/>
    </xf>
    <xf numFmtId="16" fontId="0" fillId="0" borderId="0" xfId="0" applyNumberFormat="1"/>
    <xf numFmtId="9" fontId="33" fillId="12" borderId="52" xfId="3" applyNumberFormat="1" applyFont="1" applyFill="1" applyBorder="1" applyAlignment="1">
      <alignment horizontal="center" vertical="center" wrapText="1"/>
    </xf>
    <xf numFmtId="14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</cellXfs>
  <cellStyles count="13">
    <cellStyle name="20% - Ênfase1" xfId="5" builtinId="30"/>
    <cellStyle name="20% - Ênfase2" xfId="9" builtinId="34"/>
    <cellStyle name="20% - Ênfase3" xfId="11" builtinId="38"/>
    <cellStyle name="40% - Ênfase1" xfId="6" builtinId="31"/>
    <cellStyle name="60% - Ênfase1" xfId="7" builtinId="32"/>
    <cellStyle name="Bom" xfId="3" builtinId="26"/>
    <cellStyle name="Ênfase1" xfId="4" builtinId="29"/>
    <cellStyle name="Ênfase2" xfId="8" builtinId="33"/>
    <cellStyle name="Ênfase3" xfId="10" builtinId="37"/>
    <cellStyle name="Moeda" xfId="12" builtinId="4"/>
    <cellStyle name="Normal" xfId="0" builtinId="0"/>
    <cellStyle name="Porcentagem" xfId="1" builtinId="5"/>
    <cellStyle name="Vírgula" xfId="2" builtinId="3"/>
  </cellStyles>
  <dxfs count="972"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364</xdr:row>
      <xdr:rowOff>0</xdr:rowOff>
    </xdr:from>
    <xdr:to>
      <xdr:col>14</xdr:col>
      <xdr:colOff>106321</xdr:colOff>
      <xdr:row>389</xdr:row>
      <xdr:rowOff>19717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4AEFC9-97A8-3B48-7C45-016B19E5E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52787550"/>
          <a:ext cx="11079121" cy="47822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21167</xdr:colOff>
      <xdr:row>366</xdr:row>
      <xdr:rowOff>31750</xdr:rowOff>
    </xdr:from>
    <xdr:to>
      <xdr:col>8</xdr:col>
      <xdr:colOff>19312</xdr:colOff>
      <xdr:row>401</xdr:row>
      <xdr:rowOff>23154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1F981D-80AB-022C-E890-AD1D473B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0834" y="47625000"/>
          <a:ext cx="9459645" cy="665890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366</xdr:row>
      <xdr:rowOff>0</xdr:rowOff>
    </xdr:from>
    <xdr:to>
      <xdr:col>14</xdr:col>
      <xdr:colOff>314852</xdr:colOff>
      <xdr:row>400</xdr:row>
      <xdr:rowOff>172379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9B78462-230D-4372-36A4-5E6E28B97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98083" y="50641250"/>
          <a:ext cx="9469171" cy="6649378"/>
        </a:xfrm>
        <a:prstGeom prst="rect">
          <a:avLst/>
        </a:prstGeom>
      </xdr:spPr>
    </xdr:pic>
    <xdr:clientData/>
  </xdr:twoCellAnchor>
  <xdr:twoCellAnchor>
    <xdr:from>
      <xdr:col>4</xdr:col>
      <xdr:colOff>1301750</xdr:colOff>
      <xdr:row>398</xdr:row>
      <xdr:rowOff>148167</xdr:rowOff>
    </xdr:from>
    <xdr:to>
      <xdr:col>6</xdr:col>
      <xdr:colOff>95250</xdr:colOff>
      <xdr:row>401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499E0F7-CE6C-F3D9-ABC9-AE36E83C5982}"/>
            </a:ext>
          </a:extLst>
        </xdr:cNvPr>
        <xdr:cNvSpPr/>
      </xdr:nvSpPr>
      <xdr:spPr>
        <a:xfrm>
          <a:off x="7715250" y="53837417"/>
          <a:ext cx="1947333" cy="4233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734458</xdr:colOff>
      <xdr:row>398</xdr:row>
      <xdr:rowOff>152405</xdr:rowOff>
    </xdr:from>
    <xdr:to>
      <xdr:col>12</xdr:col>
      <xdr:colOff>850875</xdr:colOff>
      <xdr:row>401</xdr:row>
      <xdr:rowOff>4238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8650DA1-0A54-495B-A26F-70FC66C8BD9B}"/>
            </a:ext>
          </a:extLst>
        </xdr:cNvPr>
        <xdr:cNvSpPr/>
      </xdr:nvSpPr>
      <xdr:spPr>
        <a:xfrm>
          <a:off x="18694375" y="53841655"/>
          <a:ext cx="1947333" cy="4233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878419</xdr:colOff>
      <xdr:row>398</xdr:row>
      <xdr:rowOff>148167</xdr:rowOff>
    </xdr:from>
    <xdr:to>
      <xdr:col>4</xdr:col>
      <xdr:colOff>529167</xdr:colOff>
      <xdr:row>401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D29498A-EBE0-4C17-A370-E6AF37E1F748}"/>
            </a:ext>
          </a:extLst>
        </xdr:cNvPr>
        <xdr:cNvSpPr/>
      </xdr:nvSpPr>
      <xdr:spPr>
        <a:xfrm>
          <a:off x="5715002" y="53837417"/>
          <a:ext cx="1227665" cy="4233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607455</xdr:colOff>
      <xdr:row>398</xdr:row>
      <xdr:rowOff>152400</xdr:rowOff>
    </xdr:from>
    <xdr:to>
      <xdr:col>11</xdr:col>
      <xdr:colOff>84666</xdr:colOff>
      <xdr:row>401</xdr:row>
      <xdr:rowOff>4233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B1A908C-64D1-40CE-ACFC-E6AD1EFDD5CE}"/>
            </a:ext>
          </a:extLst>
        </xdr:cNvPr>
        <xdr:cNvSpPr/>
      </xdr:nvSpPr>
      <xdr:spPr>
        <a:xfrm>
          <a:off x="16736455" y="53841650"/>
          <a:ext cx="1308128" cy="4233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9</xdr:col>
      <xdr:colOff>0</xdr:colOff>
      <xdr:row>406</xdr:row>
      <xdr:rowOff>0</xdr:rowOff>
    </xdr:from>
    <xdr:to>
      <xdr:col>14</xdr:col>
      <xdr:colOff>286273</xdr:colOff>
      <xdr:row>443</xdr:row>
      <xdr:rowOff>153326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B5B9B49-32BD-4E12-857D-ED9592B1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98083" y="55319083"/>
          <a:ext cx="9440592" cy="6630325"/>
        </a:xfrm>
        <a:prstGeom prst="rect">
          <a:avLst/>
        </a:prstGeom>
      </xdr:spPr>
    </xdr:pic>
    <xdr:clientData/>
  </xdr:twoCellAnchor>
  <xdr:twoCellAnchor>
    <xdr:from>
      <xdr:col>10</xdr:col>
      <xdr:colOff>571500</xdr:colOff>
      <xdr:row>439</xdr:row>
      <xdr:rowOff>148166</xdr:rowOff>
    </xdr:from>
    <xdr:to>
      <xdr:col>12</xdr:col>
      <xdr:colOff>385234</xdr:colOff>
      <xdr:row>443</xdr:row>
      <xdr:rowOff>29633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DDF7EFFA-7AC5-4A3F-A9D9-FABCE79B85D2}"/>
            </a:ext>
          </a:extLst>
        </xdr:cNvPr>
        <xdr:cNvSpPr/>
      </xdr:nvSpPr>
      <xdr:spPr>
        <a:xfrm>
          <a:off x="16700500" y="61288083"/>
          <a:ext cx="3475567" cy="64346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uxo_de_Caixa_Janeiro" displayName="Fluxo_de_Caixa_Janeiro" ref="B1:E361" totalsRowShown="0" headerRowBorderDxfId="971" tableBorderDxfId="970">
  <autoFilter ref="B1:E361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Fluxo de Caixa 2026 CTR" dataDxfId="969" dataCellStyle="20% - Ênfase3"/>
    <tableColumn id="2" xr3:uid="{00000000-0010-0000-0000-000002000000}" name="Janeiro" dataDxfId="968" dataCellStyle="Vírgula"/>
    <tableColumn id="3" xr3:uid="{00000000-0010-0000-0000-000003000000}" name="% ACUMULADO JAN/2026" dataDxfId="967" dataCellStyle="20% - Ênfase3"/>
    <tableColumn id="4" xr3:uid="{00000000-0010-0000-0000-000004000000}" name="% Acum no Ano Comparação" dataDxfId="966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uxo_de_Caixa_Janeiro3" displayName="Fluxo_de_Caixa_Janeiro3" ref="B1:E361" totalsRowShown="0" headerRowBorderDxfId="965" tableBorderDxfId="964">
  <autoFilter ref="B1:E361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Fluxo de Caixa 2026 CTR" dataDxfId="963" dataCellStyle="20% - Ênfase3">
      <calculatedColumnFormula>Fluxo_de_Caixa_Janeiro[[#This Row],[Fluxo de Caixa 2026 CTR]]</calculatedColumnFormula>
    </tableColumn>
    <tableColumn id="2" xr3:uid="{00000000-0010-0000-0100-000002000000}" name="Fevereiro" dataDxfId="962" dataCellStyle="Vírgula"/>
    <tableColumn id="3" xr3:uid="{00000000-0010-0000-0100-000003000000}" name="% ACUMULADO FEV/2026" dataDxfId="961" dataCellStyle="20% - Ênfase3"/>
    <tableColumn id="4" xr3:uid="{00000000-0010-0000-0100-000004000000}" name="% Acum no Ano Comparação" dataDxfId="960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luxo_de_Caixa_Janeiro34" displayName="Fluxo_de_Caixa_Janeiro34" ref="B1:E361" totalsRowShown="0" headerRowBorderDxfId="959" tableBorderDxfId="958">
  <autoFilter ref="B1:E361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Fluxo de Caixa 2026 CTR" dataDxfId="957" dataCellStyle="20% - Ênfase3">
      <calculatedColumnFormula>Fluxo_de_Caixa_Janeiro[[#This Row],[Fluxo de Caixa 2026 CTR]]</calculatedColumnFormula>
    </tableColumn>
    <tableColumn id="2" xr3:uid="{00000000-0010-0000-0200-000002000000}" name="Março" dataDxfId="956" dataCellStyle="Vírgula"/>
    <tableColumn id="3" xr3:uid="{00000000-0010-0000-0200-000003000000}" name="% ACUMULADO MAR/2026" dataDxfId="955" dataCellStyle="20% - Ênfase3"/>
    <tableColumn id="4" xr3:uid="{00000000-0010-0000-0200-000004000000}" name="% Acum no Ano Comparação" dataDxfId="954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Fluxo_de_Caixa_Janeiro31020" displayName="Fluxo_de_Caixa_Janeiro31020" ref="B1:Q361" totalsRowShown="0" headerRowBorderDxfId="953" tableBorderDxfId="952">
  <autoFilter ref="B1:Q361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000000-0010-0000-0300-000001000000}" name="Fluxo de Caixa 2026 CTR" dataDxfId="951" dataCellStyle="20% - Ênfase3">
      <calculatedColumnFormula>Fluxo_de_Caixa_Janeiro[[#This Row],[Fluxo de Caixa 2026 CTR]]</calculatedColumnFormula>
    </tableColumn>
    <tableColumn id="2" xr3:uid="{00000000-0010-0000-0300-000002000000}" name="Janeiro" dataDxfId="950" dataCellStyle="Vírgula">
      <calculatedColumnFormula>Fluxo_de_Caixa_Janeiro[[#This Row],[Janeiro]]</calculatedColumnFormula>
    </tableColumn>
    <tableColumn id="5" xr3:uid="{00000000-0010-0000-0300-000005000000}" name="Fevereiro" dataDxfId="949" dataCellStyle="Vírgula">
      <calculatedColumnFormula>Fluxo_de_Caixa_Janeiro3[[#This Row],[Fevereiro]]</calculatedColumnFormula>
    </tableColumn>
    <tableColumn id="6" xr3:uid="{00000000-0010-0000-0300-000006000000}" name="Março" dataDxfId="948" dataCellStyle="Vírgula">
      <calculatedColumnFormula>Fluxo_de_Caixa_Janeiro34[[#This Row],[Março]]</calculatedColumnFormula>
    </tableColumn>
    <tableColumn id="7" xr3:uid="{00000000-0010-0000-0300-000007000000}" name="Abril" dataDxfId="947" dataCellStyle="Vírgula"/>
    <tableColumn id="8" xr3:uid="{00000000-0010-0000-0300-000008000000}" name="Maio" dataDxfId="946" dataCellStyle="Vírgula"/>
    <tableColumn id="19" xr3:uid="{00000000-0010-0000-0300-000013000000}" name="Junho" dataDxfId="945" dataCellStyle="Vírgula"/>
    <tableColumn id="20" xr3:uid="{00000000-0010-0000-0300-000014000000}" name="Julho" dataDxfId="944" dataCellStyle="Vírgula">
      <calculatedColumnFormula>#REF!</calculatedColumnFormula>
    </tableColumn>
    <tableColumn id="17" xr3:uid="{00000000-0010-0000-0300-000011000000}" name="Agosto" dataDxfId="943" dataCellStyle="Vírgula">
      <calculatedColumnFormula>#REF!</calculatedColumnFormula>
    </tableColumn>
    <tableColumn id="18" xr3:uid="{00000000-0010-0000-0300-000012000000}" name="Setembro" dataDxfId="942" dataCellStyle="Vírgula">
      <calculatedColumnFormula>#REF!</calculatedColumnFormula>
    </tableColumn>
    <tableColumn id="16" xr3:uid="{00000000-0010-0000-0300-000010000000}" name="Outubro" dataDxfId="941" dataCellStyle="Vírgula">
      <calculatedColumnFormula>#REF!</calculatedColumnFormula>
    </tableColumn>
    <tableColumn id="15" xr3:uid="{00000000-0010-0000-0300-00000F000000}" name="Novembro" dataDxfId="940" dataCellStyle="Vírgula">
      <calculatedColumnFormula>#REF!</calculatedColumnFormula>
    </tableColumn>
    <tableColumn id="9" xr3:uid="{00000000-0010-0000-0300-000009000000}" name="Dezembro" dataDxfId="939" dataCellStyle="Vírgula">
      <calculatedColumnFormula>#REF!</calculatedColumnFormula>
    </tableColumn>
    <tableColumn id="10" xr3:uid="{00000000-0010-0000-0300-00000A000000}" name="Total" dataDxfId="938" dataCellStyle="Moeda">
      <calculatedColumnFormula>SUM(Fluxo_de_Caixa_Janeiro31020[[#This Row],[Janeiro]:[Dezembro]])</calculatedColumnFormula>
    </tableColumn>
    <tableColumn id="3" xr3:uid="{00000000-0010-0000-0300-000003000000}" name="% ACUMULADO  1º Trimes 2026" dataDxfId="937" dataCellStyle="20% - Ênfase3"/>
    <tableColumn id="4" xr3:uid="{00000000-0010-0000-0300-000004000000}" name="% ACUMULADO  1º Trimes 2025" dataDxfId="936" dataCellStyle="20% - Ênfase3"/>
  </tableColumns>
  <tableStyleInfo name="TableStyleLight1" showFirstColumn="1" showLastColumn="1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Fluxo_de_Caixa_Janeiro345" displayName="Fluxo_de_Caixa_Janeiro345" ref="B1:E361" totalsRowShown="0" headerRowBorderDxfId="935" tableBorderDxfId="934">
  <autoFilter ref="B1:E361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Fluxo de Caixa 2026 CTR" dataDxfId="933" dataCellStyle="20% - Ênfase3">
      <calculatedColumnFormula>Fluxo_de_Caixa_Janeiro[[#This Row],[Fluxo de Caixa 2026 CTR]]</calculatedColumnFormula>
    </tableColumn>
    <tableColumn id="2" xr3:uid="{00000000-0010-0000-0400-000002000000}" name="ABRIL" dataDxfId="932" dataCellStyle="Vírgula"/>
    <tableColumn id="3" xr3:uid="{00000000-0010-0000-0400-000003000000}" name="% ACUMULADO ABR/2026" dataDxfId="931" dataCellStyle="20% - Ênfase3"/>
    <tableColumn id="4" xr3:uid="{00000000-0010-0000-0400-000004000000}" name="% Acum no Ano Comparação" dataDxfId="930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Fluxo_de_Caixa_Janeiro3459" displayName="Fluxo_de_Caixa_Janeiro3459" ref="B1:E361" totalsRowShown="0" headerRowBorderDxfId="929" tableBorderDxfId="928">
  <autoFilter ref="B1:E361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Fluxo de Caixa 2026 CTR" dataDxfId="927" dataCellStyle="20% - Ênfase3">
      <calculatedColumnFormula>Fluxo_de_Caixa_Janeiro[[#This Row],[Fluxo de Caixa 2026 CTR]]</calculatedColumnFormula>
    </tableColumn>
    <tableColumn id="2" xr3:uid="{00000000-0010-0000-0500-000002000000}" name="MAIO" dataDxfId="926" dataCellStyle="Vírgula"/>
    <tableColumn id="3" xr3:uid="{00000000-0010-0000-0500-000003000000}" name="% ACUMULADO MAI/2026" dataDxfId="925" dataCellStyle="20% - Ênfase3"/>
    <tableColumn id="4" xr3:uid="{00000000-0010-0000-0500-000004000000}" name="% Acum no Ano Comparação" dataDxfId="924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Fluxo_de_Caixa_Janeiro345911" displayName="Fluxo_de_Caixa_Janeiro345911" ref="B1:E361" totalsRowShown="0" headerRowBorderDxfId="923" tableBorderDxfId="922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Fluxo de Caixa 2026 CTR" dataDxfId="921" dataCellStyle="20% - Ênfase3">
      <calculatedColumnFormula>Fluxo_de_Caixa_Janeiro[[#This Row],[Fluxo de Caixa 2026 CTR]]</calculatedColumnFormula>
    </tableColumn>
    <tableColumn id="2" xr3:uid="{00000000-0010-0000-0600-000002000000}" name="JUNHO" dataDxfId="920" dataCellStyle="Vírgula"/>
    <tableColumn id="3" xr3:uid="{00000000-0010-0000-0600-000003000000}" name="% ACUMULADO JUN/2026" dataDxfId="919" dataCellStyle="20% - Ênfase3"/>
    <tableColumn id="4" xr3:uid="{00000000-0010-0000-0600-000004000000}" name="% Acum no Ano Comparação" dataDxfId="918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B40A9B-B814-4635-AA3A-95A4A99AACC2}" name="Fluxo_de_Caixa_Janeiro3102013" displayName="Fluxo_de_Caixa_Janeiro3102013" ref="B1:Q361" totalsRowShown="0" headerRowBorderDxfId="917" tableBorderDxfId="916">
  <tableColumns count="16">
    <tableColumn id="1" xr3:uid="{4B1E5A6F-7DF6-49D1-B0F4-B8687ABC7C53}" name="Fluxo de Caixa 2026 CTR" dataDxfId="915" dataCellStyle="20% - Ênfase3">
      <calculatedColumnFormula>Fluxo_de_Caixa_Janeiro[[#This Row],[Fluxo de Caixa 2026 CTR]]</calculatedColumnFormula>
    </tableColumn>
    <tableColumn id="2" xr3:uid="{3BB31F88-A344-4371-B005-E993C214C9DA}" name="Janeiro" dataDxfId="914" dataCellStyle="Vírgula"/>
    <tableColumn id="5" xr3:uid="{31C5BF15-68C3-4962-A07E-4B6591AF882F}" name="Fevereiro" dataDxfId="913" dataCellStyle="Vírgula"/>
    <tableColumn id="6" xr3:uid="{03F28E8A-B49A-463F-8385-0FFFACBB6279}" name="Março" dataDxfId="912" dataCellStyle="Vírgula"/>
    <tableColumn id="7" xr3:uid="{C76471DA-59F2-461E-B71E-52A9F352507C}" name="Abril" dataDxfId="911" dataCellStyle="Vírgula">
      <calculatedColumnFormula>Fluxo_de_Caixa_Janeiro345[[#This Row],[ABRIL]]</calculatedColumnFormula>
    </tableColumn>
    <tableColumn id="8" xr3:uid="{D67527C1-8686-4C6A-B0AD-1CC646F9F2B2}" name="Maio" dataDxfId="910" dataCellStyle="Vírgula">
      <calculatedColumnFormula>Fluxo_de_Caixa_Janeiro3459[[#This Row],[MAIO]]</calculatedColumnFormula>
    </tableColumn>
    <tableColumn id="19" xr3:uid="{0AB3467A-9B77-4D6E-AAB3-83A1BB02C83D}" name="Junho" dataDxfId="909" dataCellStyle="Vírgula">
      <calculatedColumnFormula>Fluxo_de_Caixa_Janeiro345911[[#This Row],[JUNHO]]</calculatedColumnFormula>
    </tableColumn>
    <tableColumn id="20" xr3:uid="{ADA98273-9AEF-411B-90BD-9EA65D33158B}" name="Julho" dataDxfId="908" dataCellStyle="Vírgula">
      <calculatedColumnFormula>#REF!</calculatedColumnFormula>
    </tableColumn>
    <tableColumn id="17" xr3:uid="{1DA0261E-2A2F-4F66-A428-6A215C59CA3A}" name="Agosto" dataDxfId="907" dataCellStyle="Vírgula">
      <calculatedColumnFormula>#REF!</calculatedColumnFormula>
    </tableColumn>
    <tableColumn id="18" xr3:uid="{D78DE0FB-EE02-40BB-875B-A0B9353A4AAE}" name="Setembro" dataDxfId="906" dataCellStyle="Vírgula">
      <calculatedColumnFormula>#REF!</calculatedColumnFormula>
    </tableColumn>
    <tableColumn id="16" xr3:uid="{79B32077-B029-400F-9080-1F54E30DCA2B}" name="Outubro" dataDxfId="905" dataCellStyle="Vírgula">
      <calculatedColumnFormula>#REF!</calculatedColumnFormula>
    </tableColumn>
    <tableColumn id="15" xr3:uid="{B150CC2C-30CB-4B09-BBE7-675EFBC73C10}" name="Novembro" dataDxfId="904" dataCellStyle="Vírgula">
      <calculatedColumnFormula>#REF!</calculatedColumnFormula>
    </tableColumn>
    <tableColumn id="9" xr3:uid="{EB979079-2E07-4580-A5AA-4AFBE2BF42BF}" name="Dezembro" dataDxfId="903" dataCellStyle="Vírgula">
      <calculatedColumnFormula>#REF!</calculatedColumnFormula>
    </tableColumn>
    <tableColumn id="10" xr3:uid="{4177E7BC-A4C7-42E9-8C1B-D11DB428F074}" name="Total" dataDxfId="902" dataCellStyle="Moeda">
      <calculatedColumnFormula>SUM(Fluxo_de_Caixa_Janeiro3102013[[#This Row],[Janeiro]:[Dezembro]])</calculatedColumnFormula>
    </tableColumn>
    <tableColumn id="3" xr3:uid="{20860E87-D51F-4D8E-9A79-EF1FC99514C3}" name="% ACUMULADO  2º SEMEST 2026" dataDxfId="901" dataCellStyle="20% - Ênfase3"/>
    <tableColumn id="4" xr3:uid="{C86824AF-F1F5-42A0-8508-74E94B7BB4D3}" name="Coluna1" dataDxfId="900" dataCellStyle="20% - Ênfase3"/>
  </tableColumns>
  <tableStyleInfo name="TableStyleLight1" showFirstColumn="1" showLastColumn="1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Fluxo_de_Caixa_Janeiro310208" displayName="Fluxo_de_Caixa_Janeiro310208" ref="B1:Q361" totalsRowShown="0" headerRowBorderDxfId="899" tableBorderDxfId="898">
  <autoFilter ref="B1:Q361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000000-0010-0000-0700-000001000000}" name="Fluxo de Caixa 2026 CTR" dataDxfId="897" dataCellStyle="20% - Ênfase3">
      <calculatedColumnFormula>Fluxo_de_Caixa_Janeiro[[#This Row],[Fluxo de Caixa 2026 CTR]]</calculatedColumnFormula>
    </tableColumn>
    <tableColumn id="2" xr3:uid="{00000000-0010-0000-0700-000002000000}" name="Janeiro" dataDxfId="896" dataCellStyle="Vírgula">
      <calculatedColumnFormula>Fluxo_de_Caixa_Janeiro[[#This Row],[Janeiro]]</calculatedColumnFormula>
    </tableColumn>
    <tableColumn id="5" xr3:uid="{00000000-0010-0000-0700-000005000000}" name="Fevereiro" dataDxfId="895" dataCellStyle="Vírgula">
      <calculatedColumnFormula>Fluxo_de_Caixa_Janeiro3[[#This Row],[Fevereiro]]</calculatedColumnFormula>
    </tableColumn>
    <tableColumn id="6" xr3:uid="{00000000-0010-0000-0700-000006000000}" name="Março" dataDxfId="894" dataCellStyle="Vírgula">
      <calculatedColumnFormula>Fluxo_de_Caixa_Janeiro34[[#This Row],[Março]]</calculatedColumnFormula>
    </tableColumn>
    <tableColumn id="7" xr3:uid="{00000000-0010-0000-0700-000007000000}" name="Abril" dataDxfId="893" dataCellStyle="Vírgula">
      <calculatedColumnFormula>Fluxo_de_Caixa_Janeiro345[[#This Row],[ABRIL]]</calculatedColumnFormula>
    </tableColumn>
    <tableColumn id="8" xr3:uid="{00000000-0010-0000-0700-000008000000}" name="Maio" dataDxfId="892" dataCellStyle="Vírgula">
      <calculatedColumnFormula>Fluxo_de_Caixa_Janeiro3459[[#This Row],[MAIO]]</calculatedColumnFormula>
    </tableColumn>
    <tableColumn id="19" xr3:uid="{00000000-0010-0000-0700-000013000000}" name="Junho" dataDxfId="891" dataCellStyle="Vírgula">
      <calculatedColumnFormula>Fluxo_de_Caixa_Janeiro345911[[#This Row],[JUNHO]]</calculatedColumnFormula>
    </tableColumn>
    <tableColumn id="20" xr3:uid="{00000000-0010-0000-0700-000014000000}" name="Julho" dataDxfId="890" dataCellStyle="Vírgula">
      <calculatedColumnFormula>#REF!</calculatedColumnFormula>
    </tableColumn>
    <tableColumn id="17" xr3:uid="{00000000-0010-0000-0700-000011000000}" name="Agosto" dataDxfId="889" dataCellStyle="Vírgula">
      <calculatedColumnFormula>#REF!</calculatedColumnFormula>
    </tableColumn>
    <tableColumn id="18" xr3:uid="{00000000-0010-0000-0700-000012000000}" name="Setembro" dataDxfId="888" dataCellStyle="Vírgula">
      <calculatedColumnFormula>#REF!</calculatedColumnFormula>
    </tableColumn>
    <tableColumn id="16" xr3:uid="{00000000-0010-0000-0700-000010000000}" name="Outubro" dataDxfId="887" dataCellStyle="Vírgula">
      <calculatedColumnFormula>#REF!</calculatedColumnFormula>
    </tableColumn>
    <tableColumn id="15" xr3:uid="{00000000-0010-0000-0700-00000F000000}" name="Novembro" dataDxfId="886" dataCellStyle="Vírgula">
      <calculatedColumnFormula>#REF!</calculatedColumnFormula>
    </tableColumn>
    <tableColumn id="9" xr3:uid="{00000000-0010-0000-0700-000009000000}" name="Dezembro" dataDxfId="885" dataCellStyle="Vírgula">
      <calculatedColumnFormula>#REF!</calculatedColumnFormula>
    </tableColumn>
    <tableColumn id="10" xr3:uid="{00000000-0010-0000-0700-00000A000000}" name="Total" dataDxfId="884" dataCellStyle="Moeda">
      <calculatedColumnFormula>SUM(Fluxo_de_Caixa_Janeiro310208[[#This Row],[Janeiro]:[Dezembro]])</calculatedColumnFormula>
    </tableColumn>
    <tableColumn id="3" xr3:uid="{00000000-0010-0000-0700-000003000000}" name="% ACUMULADO  1º SEMEST 2026" dataDxfId="883" dataCellStyle="20% - Ênfase3"/>
    <tableColumn id="4" xr3:uid="{00000000-0010-0000-0700-000004000000}" name="% ACUMULADO  1º SEMEST 2025" dataDxfId="882" dataCellStyle="20% - Ênfase3"/>
  </tableColumns>
  <tableStyleInfo name="TableStyleLight1" showFirstColumn="1" showLastColumn="1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FEFB33-3A3F-4F7B-8646-FB66F8147093}" name="Fluxo_de_Caixa_Janeiro3459117" displayName="Fluxo_de_Caixa_Janeiro3459117" ref="B1:E361" totalsRowShown="0" headerRowBorderDxfId="881" tableBorderDxfId="880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47ABDE6B-5318-43D0-8AD6-07E57AD3D381}" name="Fluxo de Caixa 2026 CTR" dataDxfId="879" dataCellStyle="20% - Ênfase3">
      <calculatedColumnFormula>Fluxo_de_Caixa_Janeiro[[#This Row],[Fluxo de Caixa 2026 CTR]]</calculatedColumnFormula>
    </tableColumn>
    <tableColumn id="2" xr3:uid="{F63282A7-780E-4693-B676-17386D224330}" name="JULHO" dataDxfId="878" dataCellStyle="Vírgula"/>
    <tableColumn id="3" xr3:uid="{D6703FCD-AC76-4034-86C3-D9AC4F40BDD7}" name="% ACUMULADO JUL/2026" dataDxfId="877" dataCellStyle="20% - Ênfase3"/>
    <tableColumn id="4" xr3:uid="{4D10FAD5-EC79-4202-BED3-36117FA6FFFC}" name="% Acum no Ano Comparação" dataDxfId="876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5E574D-D6CC-425E-96B2-0B0E16D2519C}" name="Fluxo_de_Caixa_Janeiro345911710" displayName="Fluxo_de_Caixa_Janeiro345911710" ref="B1:E361" totalsRowShown="0" headerRowBorderDxfId="875" tableBorderDxfId="874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5519FF56-A121-40C2-9629-3456F0E2C2CE}" name="Fluxo de Caixa 2026 CTR" dataDxfId="873" dataCellStyle="20% - Ênfase3">
      <calculatedColumnFormula>Fluxo_de_Caixa_Janeiro[[#This Row],[Fluxo de Caixa 2026 CTR]]</calculatedColumnFormula>
    </tableColumn>
    <tableColumn id="2" xr3:uid="{CE90299C-B91E-4E0C-85DE-052B52FEDEF5}" name="AGOSTO" dataDxfId="872" dataCellStyle="Vírgula"/>
    <tableColumn id="3" xr3:uid="{55281BEC-34C2-4B55-9940-7E43A1DBC8A9}" name="% ACUMULADO AGO/2026" dataDxfId="871" dataCellStyle="20% - Ênfase3"/>
    <tableColumn id="4" xr3:uid="{71284206-5D7E-4954-820E-6C6EE3CC8508}" name="% Acum no Ano Comparação" dataDxfId="870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1F3A2D-AB42-4488-B331-31DC77BBCA74}" name="Fluxo_de_Caixa_Janeiro34591171012" displayName="Fluxo_de_Caixa_Janeiro34591171012" ref="B1:E361" totalsRowShown="0" headerRowBorderDxfId="869" tableBorderDxfId="868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99F1EF28-9E5A-41AC-BDD0-481CD04F6E4B}" name="Fluxo de Caixa 2026 CTR" dataDxfId="867" dataCellStyle="20% - Ênfase3">
      <calculatedColumnFormula>Fluxo_de_Caixa_Janeiro[[#This Row],[Fluxo de Caixa 2026 CTR]]</calculatedColumnFormula>
    </tableColumn>
    <tableColumn id="2" xr3:uid="{2A78B8F6-E713-4A14-B272-F5DE98DCF286}" name="SETEMBRO" dataDxfId="866" dataCellStyle="Vírgula"/>
    <tableColumn id="3" xr3:uid="{603B40D5-02E1-42FC-ADA5-664B22796A06}" name="% ACUMULADO SET/2026" dataDxfId="865" dataCellStyle="20% - Ênfase3"/>
    <tableColumn id="4" xr3:uid="{C22F251E-BCC4-4BF4-9CAF-E11CF61848A1}" name="% Acum no Ano Comparação" dataDxfId="864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B36EA1-1766-4E21-90F3-789A4C50A908}" name="Fluxo_de_Caixa_Janeiro310201314" displayName="Fluxo_de_Caixa_Janeiro310201314" ref="B1:Q361" totalsRowShown="0" headerRowBorderDxfId="863" tableBorderDxfId="862">
  <autoFilter ref="B1:Q361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DAA0457-0CD4-4E72-B720-633DA1EC013A}" name="Fluxo de Caixa 2026 CTR" dataDxfId="861" dataCellStyle="20% - Ênfase3">
      <calculatedColumnFormula>Fluxo_de_Caixa_Janeiro[[#This Row],[Fluxo de Caixa 2026 CTR]]</calculatedColumnFormula>
    </tableColumn>
    <tableColumn id="2" xr3:uid="{C6E42464-B55F-4F54-9DE1-8E192A61DCD6}" name="Janeiro" dataDxfId="860" dataCellStyle="Vírgula"/>
    <tableColumn id="5" xr3:uid="{0D2802E4-C883-40B0-A629-47076404CFC4}" name="Fevereiro" dataDxfId="859" dataCellStyle="Vírgula"/>
    <tableColumn id="6" xr3:uid="{4398C021-69D9-48B5-9839-42AF8F2A4DB9}" name="Março" dataDxfId="858" dataCellStyle="Vírgula"/>
    <tableColumn id="7" xr3:uid="{7BAFD2A6-2C88-4276-BC5A-21A424C20B65}" name="Abril" dataDxfId="857" dataCellStyle="Vírgula"/>
    <tableColumn id="8" xr3:uid="{3845F1F1-5730-472C-A93C-BFA4DD9B5657}" name="Maio" dataDxfId="856" dataCellStyle="Vírgula"/>
    <tableColumn id="19" xr3:uid="{ECC5726C-6C6B-4F25-9569-E761337CE0D3}" name="Junho" dataDxfId="855" dataCellStyle="Vírgula"/>
    <tableColumn id="20" xr3:uid="{C30C2D83-1FA9-4EFE-99B2-6AF10B071174}" name="Julho" dataDxfId="854" dataCellStyle="Vírgula">
      <calculatedColumnFormula>Fluxo_de_Caixa_Janeiro3459117[[#This Row],[JULHO]]</calculatedColumnFormula>
    </tableColumn>
    <tableColumn id="17" xr3:uid="{BF9D1378-1F33-4F78-8171-28BBF1D9089D}" name="Agosto" dataDxfId="853" dataCellStyle="Vírgula">
      <calculatedColumnFormula>Fluxo_de_Caixa_Janeiro345911710[[#This Row],[AGOSTO]]</calculatedColumnFormula>
    </tableColumn>
    <tableColumn id="18" xr3:uid="{618761FA-DBAF-42D0-842B-48F737FEFD58}" name="Setembro" dataDxfId="852" dataCellStyle="Vírgula">
      <calculatedColumnFormula>Fluxo_de_Caixa_Janeiro34591171012[[#This Row],[SETEMBRO]]</calculatedColumnFormula>
    </tableColumn>
    <tableColumn id="16" xr3:uid="{FE2808AD-ECFE-4E9C-ABD8-70D51026482F}" name="Outubro" dataDxfId="851" dataCellStyle="Vírgula">
      <calculatedColumnFormula>#REF!</calculatedColumnFormula>
    </tableColumn>
    <tableColumn id="15" xr3:uid="{52687AD3-9AD7-4510-93FA-C456F29943A8}" name="Novembro" dataDxfId="850" dataCellStyle="Vírgula">
      <calculatedColumnFormula>#REF!</calculatedColumnFormula>
    </tableColumn>
    <tableColumn id="9" xr3:uid="{8832CF18-2459-4E1B-99CB-C393FAB61F0C}" name="Dezembro" dataDxfId="849" dataCellStyle="Vírgula">
      <calculatedColumnFormula>#REF!</calculatedColumnFormula>
    </tableColumn>
    <tableColumn id="10" xr3:uid="{D82ABE0B-D6A8-41F0-AFD6-4FFCCA7FED56}" name="Total" dataDxfId="848" dataCellStyle="Moeda">
      <calculatedColumnFormula>SUM(Fluxo_de_Caixa_Janeiro310201314[[#This Row],[Janeiro]:[Dezembro]])</calculatedColumnFormula>
    </tableColumn>
    <tableColumn id="3" xr3:uid="{B8D16FDF-B76A-4C80-A4FC-0E41882D3060}" name="% ACUMULADO  3º SEMEST 2026" dataDxfId="847" dataCellStyle="20% - Ênfase3"/>
    <tableColumn id="4" xr3:uid="{15ECE58E-F86C-464F-AC2A-7C3C470E1B6F}" name="Coluna1" dataDxfId="846" dataCellStyle="20% - Ênfase3"/>
  </tableColumns>
  <tableStyleInfo name="TableStyleLight1" showFirstColumn="1" showLastColumn="1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D2092A-D4DE-44B8-9046-56E7C3111CDC}" name="Fluxo_de_Caixa_Janeiro3459117101215" displayName="Fluxo_de_Caixa_Janeiro3459117101215" ref="B1:E361" totalsRowShown="0" headerRowBorderDxfId="845" tableBorderDxfId="844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3E50CE64-C871-42A8-8773-43FCADB41FB9}" name="Fluxo de Caixa 2026 CTR" dataDxfId="843" dataCellStyle="20% - Ênfase3">
      <calculatedColumnFormula>Fluxo_de_Caixa_Janeiro[[#This Row],[Fluxo de Caixa 2026 CTR]]</calculatedColumnFormula>
    </tableColumn>
    <tableColumn id="2" xr3:uid="{A896262F-FDF8-4C8F-AF16-C8F4501059B4}" name="OUTUBRO" dataDxfId="842" dataCellStyle="Vírgula"/>
    <tableColumn id="3" xr3:uid="{2C37490E-3F3F-4ABB-AB7F-B23C10B23C53}" name="% ACUMULADO OUT/2026" dataDxfId="841" dataCellStyle="20% - Ênfase3"/>
    <tableColumn id="4" xr3:uid="{566113BB-DFF2-4B61-97D9-6B3BC5CD7BDA}" name="% Acum no Ano Comparação" dataDxfId="840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766D8E5-3D10-41CC-95FE-20D731370DCF}" name="Fluxo_de_Caixa_Janeiro345911710121516" displayName="Fluxo_de_Caixa_Janeiro345911710121516" ref="B1:E361" totalsRowShown="0" headerRowBorderDxfId="839" tableBorderDxfId="838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53957481-3FEF-44E9-B953-F46AB153D48D}" name="Fluxo de Caixa 2026 CTR" dataDxfId="837" dataCellStyle="20% - Ênfase3">
      <calculatedColumnFormula>Fluxo_de_Caixa_Janeiro[[#This Row],[Fluxo de Caixa 2026 CTR]]</calculatedColumnFormula>
    </tableColumn>
    <tableColumn id="2" xr3:uid="{9C522677-4EC0-49EC-8EF8-49C033BB4641}" name="NOVEMBRO" dataDxfId="836" dataCellStyle="Vírgula"/>
    <tableColumn id="3" xr3:uid="{A04CFA06-D88B-40E6-B695-ABDFDE0B9279}" name="% ACUMULADO NOV/2026" dataDxfId="835" dataCellStyle="20% - Ênfase3"/>
    <tableColumn id="4" xr3:uid="{D3C22BC1-C334-41EB-BE15-7C015FCBBB89}" name="% Acum no Ano Comparação" dataDxfId="834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6E1B2AE-7497-4B6C-9E94-EE7071C218ED}" name="Fluxo_de_Caixa_Janeiro34591171012151619" displayName="Fluxo_de_Caixa_Janeiro34591171012151619" ref="B1:E361" totalsRowShown="0" headerRowBorderDxfId="833" tableBorderDxfId="832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76FAB508-CE62-424D-B28A-ED416031EEE1}" name="Fluxo de Caixa 2026 CTR" dataDxfId="831" dataCellStyle="20% - Ênfase3">
      <calculatedColumnFormula>Fluxo_de_Caixa_Janeiro[[#This Row],[Fluxo de Caixa 2026 CTR]]</calculatedColumnFormula>
    </tableColumn>
    <tableColumn id="2" xr3:uid="{F6F997C9-6BFB-4420-8FE3-E86050A2FA7D}" name="DEZEMBRO" dataDxfId="830" dataCellStyle="Vírgula"/>
    <tableColumn id="3" xr3:uid="{AE87C93E-2FFF-4E27-8586-73E1944E9F61}" name="% ACUMULADO DEZ/2026" dataDxfId="829" dataCellStyle="20% - Ênfase3"/>
    <tableColumn id="4" xr3:uid="{141E41A0-610D-492A-A369-8E559788F84E}" name="% Acum no Ano Comparação" dataDxfId="828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45C158-9220-4F79-A4CD-FA26314CDE84}" name="Fluxo_de_Caixa_Janeiro31020817" displayName="Fluxo_de_Caixa_Janeiro31020817" ref="B1:Q352" totalsRowShown="0" headerRowBorderDxfId="827" tableBorderDxfId="826">
  <autoFilter ref="B1:Q352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030B7DF-C893-48A3-9418-F90AA02408F1}" name="Fluxo de Caixa 2025 CTR" dataDxfId="825" dataCellStyle="20% - Ênfase3">
      <calculatedColumnFormula>Fluxo_de_Caixa_Janeiro[[#This Row],[Fluxo de Caixa 2026 CTR]]</calculatedColumnFormula>
    </tableColumn>
    <tableColumn id="2" xr3:uid="{5E196615-4892-4500-A08A-C3BC64FAE0DC}" name="Janeiro" dataDxfId="824" dataCellStyle="Vírgula"/>
    <tableColumn id="5" xr3:uid="{9723FF2B-F1A5-4F80-8B71-E4E70966045C}" name="Fevereiro" dataDxfId="823" dataCellStyle="Vírgula"/>
    <tableColumn id="6" xr3:uid="{9081A49F-08C3-4BD8-BA8A-D55514F17672}" name="Março" dataDxfId="822" dataCellStyle="Vírgula"/>
    <tableColumn id="7" xr3:uid="{674F4B54-D247-4636-97C7-632CEFEC4A42}" name="Abril" dataDxfId="821" dataCellStyle="Vírgula"/>
    <tableColumn id="8" xr3:uid="{C0957862-486F-44F2-9FB2-21FAA0D7F669}" name="Maio" dataDxfId="820" dataCellStyle="Vírgula"/>
    <tableColumn id="19" xr3:uid="{CFA15FC5-8438-4DE3-93B4-98DC2022B318}" name="Junho" dataDxfId="819" dataCellStyle="Vírgula"/>
    <tableColumn id="20" xr3:uid="{F98A9510-4BE3-41FB-94DF-B574A901B49F}" name="Julho" dataDxfId="818" dataCellStyle="Vírgula">
      <calculatedColumnFormula>Fluxo_de_Caixa_Janeiro3459117[[#This Row],[JULHO]]</calculatedColumnFormula>
    </tableColumn>
    <tableColumn id="17" xr3:uid="{D2D4B750-C423-4A16-8619-2CF629F2163A}" name="Agosto" dataDxfId="817" dataCellStyle="Vírgula">
      <calculatedColumnFormula>Fluxo_de_Caixa_Janeiro345911710[[#This Row],[AGOSTO]]</calculatedColumnFormula>
    </tableColumn>
    <tableColumn id="18" xr3:uid="{92F69A2D-449C-42AF-9825-276A332D28FE}" name="Setembro" dataDxfId="816" dataCellStyle="Vírgula">
      <calculatedColumnFormula>Fluxo_de_Caixa_Janeiro34591171012[[#This Row],[SETEMBRO]]</calculatedColumnFormula>
    </tableColumn>
    <tableColumn id="16" xr3:uid="{042E15E6-EEED-4413-A3E5-DC30B80A1B2F}" name="Outubro" dataDxfId="815" dataCellStyle="Vírgula">
      <calculatedColumnFormula>Fluxo_de_Caixa_Janeiro3459117101215[[#This Row],[OUTUBRO]]</calculatedColumnFormula>
    </tableColumn>
    <tableColumn id="15" xr3:uid="{5C0FF468-138B-4003-939F-455E5CE9FB52}" name="Novembro" dataDxfId="814" dataCellStyle="Vírgula">
      <calculatedColumnFormula>Fluxo_de_Caixa_Janeiro345911710121516[[#This Row],[NOVEMBRO]]</calculatedColumnFormula>
    </tableColumn>
    <tableColumn id="9" xr3:uid="{31ED2F11-54BD-4DA1-884F-DC9B235C477F}" name="Dezembro" dataDxfId="813" dataCellStyle="Vírgula">
      <calculatedColumnFormula>Fluxo_de_Caixa_Janeiro34591171012151619[[#This Row],[DEZEMBRO]]</calculatedColumnFormula>
    </tableColumn>
    <tableColumn id="10" xr3:uid="{5E41CF45-C214-43B4-9CE6-2043BA2F83E7}" name="Total" dataDxfId="812" dataCellStyle="Moeda">
      <calculatedColumnFormula>SUM(Fluxo_de_Caixa_Janeiro31020817[[#This Row],[Janeiro]:[Dezembro]])</calculatedColumnFormula>
    </tableColumn>
    <tableColumn id="3" xr3:uid="{3C75EC33-6D32-472F-AE5A-DDC24598C326}" name="% ACUMULADO  2º SEMEST 2025" dataDxfId="811" dataCellStyle="20% - Ênfase3"/>
    <tableColumn id="4" xr3:uid="{E053136C-6F0A-44C4-93C2-4D4439228DF6}" name="Coluna1" dataDxfId="810" dataCellStyle="20% - Ênfase3"/>
  </tableColumns>
  <tableStyleInfo name="TableStyleLight1" showFirstColumn="1" showLastColumn="1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5DC2FED-20A3-42B8-BB6D-6747B4B76C42}" name="Fluxo_de_Caixa_Janeiro31020818" displayName="Fluxo_de_Caixa_Janeiro31020818" ref="B1:Q361" totalsRowShown="0" headerRowBorderDxfId="809" tableBorderDxfId="808">
  <autoFilter ref="B1:Q361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A9023D71-005B-4986-976B-57D85457F7E3}" name="Fluxo de Caixa 2026 CTR" dataDxfId="807" dataCellStyle="20% - Ênfase3">
      <calculatedColumnFormula>Fluxo_de_Caixa_Janeiro[[#This Row],[Fluxo de Caixa 2026 CTR]]</calculatedColumnFormula>
    </tableColumn>
    <tableColumn id="2" xr3:uid="{C7CEC9C2-2AFA-4820-A742-28019FAA97F2}" name="Janeiro" dataDxfId="806" dataCellStyle="Vírgula">
      <calculatedColumnFormula>Fluxo_de_Caixa_Janeiro[[#This Row],[Janeiro]]</calculatedColumnFormula>
    </tableColumn>
    <tableColumn id="5" xr3:uid="{232F41AD-DA78-40DA-83AA-445A92226AA1}" name="Fevereiro" dataDxfId="805" dataCellStyle="Vírgula">
      <calculatedColumnFormula>Fluxo_de_Caixa_Janeiro3[[#This Row],[Fevereiro]]</calculatedColumnFormula>
    </tableColumn>
    <tableColumn id="6" xr3:uid="{2F3B24EE-5AB4-46BA-B90E-698DE12B8DDD}" name="Março" dataDxfId="804" dataCellStyle="Vírgula">
      <calculatedColumnFormula>Fluxo_de_Caixa_Janeiro34[[#This Row],[Março]]</calculatedColumnFormula>
    </tableColumn>
    <tableColumn id="7" xr3:uid="{8B55CB5C-F1D3-4E2A-8685-C441FA8A6F72}" name="Abril" dataDxfId="803" dataCellStyle="Vírgula">
      <calculatedColumnFormula>Fluxo_de_Caixa_Janeiro345[[#This Row],[ABRIL]]</calculatedColumnFormula>
    </tableColumn>
    <tableColumn id="8" xr3:uid="{66EFE7C3-03BB-44F2-BA00-1E6CB7BD7EED}" name="Maio" dataDxfId="802" dataCellStyle="Vírgula">
      <calculatedColumnFormula>Fluxo_de_Caixa_Janeiro3459[[#This Row],[MAIO]]</calculatedColumnFormula>
    </tableColumn>
    <tableColumn id="19" xr3:uid="{6E575BBC-EE80-4146-8654-F61CCA475509}" name="Junho" dataDxfId="801" dataCellStyle="Vírgula">
      <calculatedColumnFormula>Fluxo_de_Caixa_Janeiro345911[[#This Row],[JUNHO]]</calculatedColumnFormula>
    </tableColumn>
    <tableColumn id="20" xr3:uid="{A105CF37-04D6-403D-A845-2840BA62A26E}" name="Julho" dataDxfId="800" dataCellStyle="Vírgula">
      <calculatedColumnFormula>Fluxo_de_Caixa_Janeiro3459117[[#This Row],[JULHO]]</calculatedColumnFormula>
    </tableColumn>
    <tableColumn id="17" xr3:uid="{C3B92FB3-C64B-4692-8E45-D6EBB75C2BB7}" name="Agosto" dataDxfId="799" dataCellStyle="Vírgula">
      <calculatedColumnFormula>Fluxo_de_Caixa_Janeiro345911710[[#This Row],[AGOSTO]]</calculatedColumnFormula>
    </tableColumn>
    <tableColumn id="18" xr3:uid="{4C903C6E-E622-4853-8EB3-CE0A1ADC9D41}" name="Setembro" dataDxfId="798" dataCellStyle="Vírgula">
      <calculatedColumnFormula>Fluxo_de_Caixa_Janeiro34591171012[[#This Row],[SETEMBRO]]</calculatedColumnFormula>
    </tableColumn>
    <tableColumn id="16" xr3:uid="{C9C8FE7A-7C7C-4BEF-9B34-3060AC076E22}" name="Outubro" dataDxfId="797" dataCellStyle="Vírgula">
      <calculatedColumnFormula>Fluxo_de_Caixa_Janeiro3459117101215[[#This Row],[OUTUBRO]]</calculatedColumnFormula>
    </tableColumn>
    <tableColumn id="15" xr3:uid="{103294AD-8614-4FBB-89BC-63956D2AB103}" name="Novembro" dataDxfId="796" dataCellStyle="Vírgula">
      <calculatedColumnFormula>Fluxo_de_Caixa_Janeiro345911710121516[[#This Row],[NOVEMBRO]]</calculatedColumnFormula>
    </tableColumn>
    <tableColumn id="9" xr3:uid="{17B04035-42F0-4263-8759-6A0DE6A87719}" name="Dezembro" dataDxfId="795" dataCellStyle="Vírgula">
      <calculatedColumnFormula>Fluxo_de_Caixa_Janeiro34591171012151619[[#This Row],[DEZEMBRO]]</calculatedColumnFormula>
    </tableColumn>
    <tableColumn id="10" xr3:uid="{57787ED9-BF7D-424E-9F28-1A64CFC83ADA}" name="Total ano" dataDxfId="794" dataCellStyle="Moeda">
      <calculatedColumnFormula>SUM(Fluxo_de_Caixa_Janeiro31020818[[#This Row],[Janeiro]:[Dezembro]])</calculatedColumnFormula>
    </tableColumn>
    <tableColumn id="3" xr3:uid="{6B5596CA-F557-48B5-9757-51C73246D055}" name="% ACUMULADO  ANO 2026" dataDxfId="793" dataCellStyle="20% - Ênfase3"/>
    <tableColumn id="4" xr3:uid="{1DBB0886-ADC4-4EFB-87EB-A6A5DFA8C286}" name="Coluna1" dataDxfId="792" dataCellStyle="20% - Ênfase3"/>
  </tableColumns>
  <tableStyleInfo name="TableStyleLight1" showFirstColumn="1" showLastColumn="1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0"/>
    <pageSetUpPr autoPageBreaks="0" fitToPage="1"/>
  </sheetPr>
  <dimension ref="A1:HA412"/>
  <sheetViews>
    <sheetView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8.28515625" customWidth="1"/>
    <col min="8" max="8" width="21.5703125" style="246" customWidth="1"/>
    <col min="9" max="9" width="21.570312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50</v>
      </c>
      <c r="D1" s="410" t="s">
        <v>304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">
        <v>149</v>
      </c>
      <c r="C2" s="339">
        <f>SUBTOTAL(109,C3:C25)</f>
        <v>67410.42</v>
      </c>
      <c r="D2" s="412">
        <f>SUM(D3:D25)</f>
        <v>1</v>
      </c>
      <c r="E2" s="307"/>
      <c r="F2" s="31"/>
      <c r="H2" s="285"/>
      <c r="I2" s="285"/>
    </row>
    <row r="3" spans="1:10" x14ac:dyDescent="0.25">
      <c r="B3" s="413" t="s">
        <v>285</v>
      </c>
      <c r="C3" s="62">
        <v>148.53</v>
      </c>
      <c r="D3" s="414">
        <f>IF(C3=0,"0,00%",C3/$C$2)</f>
        <v>2.2033685593414194E-3</v>
      </c>
      <c r="E3" s="66"/>
      <c r="F3" s="31"/>
      <c r="G3">
        <v>1</v>
      </c>
      <c r="I3" s="246"/>
    </row>
    <row r="4" spans="1:10" x14ac:dyDescent="0.25">
      <c r="B4" s="413" t="s">
        <v>281</v>
      </c>
      <c r="C4" s="62">
        <v>15268.12</v>
      </c>
      <c r="D4" s="414">
        <f t="shared" ref="D4:D26" si="0">IF(C4=0,"0,00%",C4/$C$2)</f>
        <v>0.22649495434088679</v>
      </c>
      <c r="E4" s="66"/>
      <c r="F4" s="31"/>
      <c r="G4">
        <v>2</v>
      </c>
      <c r="I4" s="246"/>
    </row>
    <row r="5" spans="1:10" x14ac:dyDescent="0.25">
      <c r="B5" s="413"/>
      <c r="C5" s="62"/>
      <c r="D5" s="414" t="str">
        <f t="shared" si="0"/>
        <v>0,00%</v>
      </c>
      <c r="E5" s="66"/>
      <c r="F5" s="31"/>
      <c r="G5">
        <v>3</v>
      </c>
      <c r="I5" s="246"/>
    </row>
    <row r="6" spans="1:10" x14ac:dyDescent="0.25">
      <c r="B6" s="413" t="s">
        <v>280</v>
      </c>
      <c r="C6" s="62">
        <v>8.6199999999999992</v>
      </c>
      <c r="D6" s="414">
        <f t="shared" si="0"/>
        <v>1.2787340592151775E-4</v>
      </c>
      <c r="E6" s="66"/>
      <c r="F6" s="31"/>
      <c r="G6">
        <v>4</v>
      </c>
      <c r="I6" s="246"/>
    </row>
    <row r="7" spans="1:10" x14ac:dyDescent="0.25">
      <c r="B7" s="413"/>
      <c r="C7" s="62"/>
      <c r="D7" s="414" t="str">
        <f t="shared" si="0"/>
        <v>0,00%</v>
      </c>
      <c r="E7" s="66"/>
      <c r="F7" s="31"/>
      <c r="G7">
        <v>5</v>
      </c>
      <c r="I7" s="246"/>
    </row>
    <row r="8" spans="1:10" x14ac:dyDescent="0.25">
      <c r="B8" s="413" t="s">
        <v>321</v>
      </c>
      <c r="C8" s="62"/>
      <c r="D8" s="414" t="str">
        <f t="shared" si="0"/>
        <v>0,00%</v>
      </c>
      <c r="E8" s="66"/>
      <c r="F8" s="31"/>
      <c r="G8">
        <v>6</v>
      </c>
      <c r="I8" s="246"/>
    </row>
    <row r="9" spans="1:10" x14ac:dyDescent="0.25">
      <c r="B9" s="413" t="s">
        <v>282</v>
      </c>
      <c r="C9" s="62">
        <v>124.56</v>
      </c>
      <c r="D9" s="414">
        <f t="shared" si="0"/>
        <v>1.8477855500677789E-3</v>
      </c>
      <c r="E9" s="66"/>
      <c r="F9" s="31"/>
      <c r="G9">
        <v>7</v>
      </c>
      <c r="I9" s="246"/>
    </row>
    <row r="10" spans="1:10" x14ac:dyDescent="0.25">
      <c r="B10" s="413" t="s">
        <v>328</v>
      </c>
      <c r="C10" s="62"/>
      <c r="D10" s="414" t="str">
        <f t="shared" si="0"/>
        <v>0,00%</v>
      </c>
      <c r="E10" s="66"/>
      <c r="F10" s="31"/>
      <c r="G10">
        <v>8</v>
      </c>
      <c r="I10" s="246"/>
    </row>
    <row r="11" spans="1:10" x14ac:dyDescent="0.25">
      <c r="B11" s="413" t="s">
        <v>293</v>
      </c>
      <c r="C11" s="62">
        <v>40443.69</v>
      </c>
      <c r="D11" s="414">
        <f t="shared" si="0"/>
        <v>0.59996199400626793</v>
      </c>
      <c r="E11" s="66"/>
      <c r="F11" s="31"/>
      <c r="G11">
        <v>9</v>
      </c>
      <c r="I11" s="246"/>
    </row>
    <row r="12" spans="1:10" x14ac:dyDescent="0.25">
      <c r="B12" s="413" t="s">
        <v>322</v>
      </c>
      <c r="C12" s="62">
        <v>902.73</v>
      </c>
      <c r="D12" s="414">
        <f t="shared" si="0"/>
        <v>1.3391549852381873E-2</v>
      </c>
      <c r="E12" s="66"/>
      <c r="F12" s="31"/>
      <c r="G12">
        <v>10</v>
      </c>
      <c r="I12" s="246"/>
    </row>
    <row r="13" spans="1:10" x14ac:dyDescent="0.25">
      <c r="B13" s="413" t="s">
        <v>283</v>
      </c>
      <c r="C13" s="62">
        <v>0</v>
      </c>
      <c r="D13" s="414" t="str">
        <f t="shared" si="0"/>
        <v>0,00%</v>
      </c>
      <c r="E13" s="66"/>
      <c r="F13" s="31"/>
      <c r="G13">
        <v>11</v>
      </c>
      <c r="I13" s="246"/>
    </row>
    <row r="14" spans="1:10" x14ac:dyDescent="0.25">
      <c r="B14" s="413"/>
      <c r="C14" s="62"/>
      <c r="D14" s="414" t="str">
        <f t="shared" si="0"/>
        <v>0,00%</v>
      </c>
      <c r="E14" s="66"/>
      <c r="F14" s="31"/>
      <c r="G14">
        <v>12</v>
      </c>
      <c r="I14" s="246"/>
    </row>
    <row r="15" spans="1:10" x14ac:dyDescent="0.25">
      <c r="B15" s="413" t="s">
        <v>291</v>
      </c>
      <c r="C15" s="62">
        <v>1415.61</v>
      </c>
      <c r="D15" s="414">
        <f t="shared" si="0"/>
        <v>2.0999869159693707E-2</v>
      </c>
      <c r="E15" s="66"/>
      <c r="F15" s="31"/>
      <c r="G15">
        <v>13</v>
      </c>
      <c r="I15" s="246"/>
    </row>
    <row r="16" spans="1:10" x14ac:dyDescent="0.25">
      <c r="B16" s="413"/>
      <c r="C16" s="62"/>
      <c r="D16" s="414" t="str">
        <f t="shared" si="0"/>
        <v>0,00%</v>
      </c>
      <c r="E16" s="617" t="e">
        <f>#REF!</f>
        <v>#REF!</v>
      </c>
      <c r="F16" s="31"/>
      <c r="G16">
        <v>14</v>
      </c>
      <c r="I16" s="246"/>
    </row>
    <row r="17" spans="1:10" x14ac:dyDescent="0.25">
      <c r="B17" s="413"/>
      <c r="C17" s="62"/>
      <c r="D17" s="414" t="str">
        <f t="shared" si="0"/>
        <v>0,00%</v>
      </c>
      <c r="E17" s="617" t="e">
        <f>#REF!</f>
        <v>#REF!</v>
      </c>
      <c r="F17" s="31"/>
      <c r="G17">
        <v>15</v>
      </c>
      <c r="I17" s="246"/>
    </row>
    <row r="18" spans="1:10" x14ac:dyDescent="0.25">
      <c r="B18" s="413" t="s">
        <v>300</v>
      </c>
      <c r="C18" s="62">
        <v>536.72</v>
      </c>
      <c r="D18" s="414">
        <f t="shared" si="0"/>
        <v>7.961973831345363E-3</v>
      </c>
      <c r="E18" s="617" t="e">
        <f>#REF!</f>
        <v>#REF!</v>
      </c>
      <c r="F18" s="31"/>
      <c r="G18">
        <v>16</v>
      </c>
      <c r="I18" s="246"/>
    </row>
    <row r="19" spans="1:10" x14ac:dyDescent="0.25">
      <c r="B19" s="413" t="s">
        <v>292</v>
      </c>
      <c r="C19" s="62">
        <v>0</v>
      </c>
      <c r="D19" s="414" t="str">
        <f t="shared" si="0"/>
        <v>0,00%</v>
      </c>
      <c r="E19" s="617" t="e">
        <f>#REF!</f>
        <v>#REF!</v>
      </c>
      <c r="F19" s="31"/>
      <c r="G19">
        <v>17</v>
      </c>
      <c r="I19" s="246"/>
    </row>
    <row r="20" spans="1:10" x14ac:dyDescent="0.25">
      <c r="B20" s="413" t="s">
        <v>286</v>
      </c>
      <c r="C20" s="62">
        <v>1409.97</v>
      </c>
      <c r="D20" s="414">
        <f t="shared" si="0"/>
        <v>2.0916202569276381E-2</v>
      </c>
      <c r="E20" s="617" t="e">
        <f>#REF!</f>
        <v>#REF!</v>
      </c>
      <c r="F20" s="31"/>
      <c r="G20">
        <v>18</v>
      </c>
      <c r="I20" s="246"/>
    </row>
    <row r="21" spans="1:10" x14ac:dyDescent="0.25">
      <c r="B21" s="413" t="s">
        <v>284</v>
      </c>
      <c r="C21" s="62">
        <v>57.34</v>
      </c>
      <c r="D21" s="414">
        <f t="shared" si="0"/>
        <v>8.5061033590949295E-4</v>
      </c>
      <c r="E21" s="617" t="e">
        <f>#REF!</f>
        <v>#REF!</v>
      </c>
      <c r="F21" s="31"/>
      <c r="G21">
        <v>19</v>
      </c>
      <c r="I21" s="246"/>
      <c r="J21" s="246"/>
    </row>
    <row r="22" spans="1:10" x14ac:dyDescent="0.25">
      <c r="B22" s="413"/>
      <c r="C22" s="62"/>
      <c r="D22" s="414" t="str">
        <f t="shared" si="0"/>
        <v>0,00%</v>
      </c>
      <c r="E22" s="617" t="e">
        <f>#REF!</f>
        <v>#REF!</v>
      </c>
      <c r="F22" s="31"/>
      <c r="G22">
        <v>20</v>
      </c>
      <c r="I22" s="246"/>
    </row>
    <row r="23" spans="1:10" x14ac:dyDescent="0.25">
      <c r="B23" s="413" t="s">
        <v>288</v>
      </c>
      <c r="C23" s="62">
        <v>5412.19</v>
      </c>
      <c r="D23" s="414">
        <f t="shared" si="0"/>
        <v>8.0287142551552115E-2</v>
      </c>
      <c r="E23" s="617" t="e">
        <f>#REF!</f>
        <v>#REF!</v>
      </c>
      <c r="F23" s="31"/>
      <c r="G23">
        <v>21</v>
      </c>
      <c r="I23" s="246"/>
    </row>
    <row r="24" spans="1:10" x14ac:dyDescent="0.25">
      <c r="B24" s="413" t="s">
        <v>287</v>
      </c>
      <c r="C24" s="62">
        <v>0</v>
      </c>
      <c r="D24" s="414" t="str">
        <f t="shared" si="0"/>
        <v>0,00%</v>
      </c>
      <c r="E24" s="66"/>
      <c r="F24" s="31"/>
      <c r="G24">
        <v>22</v>
      </c>
      <c r="I24" s="246"/>
    </row>
    <row r="25" spans="1:10" ht="15.75" thickBot="1" x14ac:dyDescent="0.3">
      <c r="B25" s="413" t="s">
        <v>289</v>
      </c>
      <c r="C25" s="62">
        <v>1682.34</v>
      </c>
      <c r="D25" s="414">
        <f t="shared" si="0"/>
        <v>2.4956675837355707E-2</v>
      </c>
      <c r="E25" s="67"/>
      <c r="F25" s="31"/>
      <c r="G25">
        <v>23</v>
      </c>
      <c r="I25" s="246"/>
      <c r="J25" s="246"/>
    </row>
    <row r="26" spans="1:10" x14ac:dyDescent="0.25">
      <c r="B26" s="413"/>
      <c r="C26" s="62"/>
      <c r="D26" s="414" t="str">
        <f t="shared" si="0"/>
        <v>0,00%</v>
      </c>
      <c r="E26" s="617" t="e">
        <f>#REF!</f>
        <v>#REF!</v>
      </c>
      <c r="F26" s="31"/>
      <c r="G26">
        <v>24</v>
      </c>
      <c r="I26" s="246"/>
    </row>
    <row r="27" spans="1:10" ht="27" thickBot="1" x14ac:dyDescent="0.45">
      <c r="B27" s="481" t="s">
        <v>21</v>
      </c>
      <c r="C27" s="340">
        <f>SUBTOTAL(109,C29:C51)</f>
        <v>749632.92999999993</v>
      </c>
      <c r="D27" s="416">
        <f>IFERROR(C27/C332,"")</f>
        <v>0.99826618794430533</v>
      </c>
      <c r="E27" s="308">
        <v>0.88526119449158447</v>
      </c>
      <c r="F27" s="32"/>
      <c r="H27" s="246">
        <f>H28+I28</f>
        <v>284105.37</v>
      </c>
      <c r="I27" s="246"/>
    </row>
    <row r="28" spans="1:10" s="1" customFormat="1" ht="24" thickBot="1" x14ac:dyDescent="0.4">
      <c r="A28" s="11" t="s">
        <v>49</v>
      </c>
      <c r="B28" s="417" t="s">
        <v>49</v>
      </c>
      <c r="C28" s="341">
        <f>SUBTOTAL(109,C29:C47)</f>
        <v>749632.92999999993</v>
      </c>
      <c r="D28" s="418">
        <f>SUM(D29:D47)</f>
        <v>0.99826618794430533</v>
      </c>
      <c r="E28" s="309">
        <v>0.88251932897796925</v>
      </c>
      <c r="F28" s="32"/>
      <c r="H28" s="570">
        <f>SUM(H29:H36)</f>
        <v>42578.960000000006</v>
      </c>
      <c r="I28" s="570">
        <f>SUM(I29:I36)</f>
        <v>241526.41</v>
      </c>
      <c r="J28" s="570">
        <f>SUM(J29:J36)</f>
        <v>465527.56</v>
      </c>
    </row>
    <row r="29" spans="1:10" x14ac:dyDescent="0.25">
      <c r="B29" s="419" t="s">
        <v>169</v>
      </c>
      <c r="C29" s="64">
        <f>H29+I29+J29</f>
        <v>2199.7799999999997</v>
      </c>
      <c r="D29" s="420">
        <f t="shared" ref="D29:D47" si="1">IF(C29=0,"0,00%",C29/$C$332)</f>
        <v>2.9293883806786928E-3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>
        <f>3454.6-2223.58</f>
        <v>1231.02</v>
      </c>
      <c r="J29" s="246">
        <v>968.76</v>
      </c>
    </row>
    <row r="30" spans="1:10" x14ac:dyDescent="0.25">
      <c r="B30" s="419" t="s">
        <v>170</v>
      </c>
      <c r="C30" s="64">
        <f t="shared" ref="C30:C36" si="2">H30+I30+J30</f>
        <v>328505.71999999997</v>
      </c>
      <c r="D30" s="420">
        <f t="shared" si="1"/>
        <v>0.43746230948298837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G30" s="404">
        <f>C361</f>
        <v>-150.01000000001295</v>
      </c>
      <c r="H30" s="246">
        <v>6947.26</v>
      </c>
      <c r="I30" s="246">
        <v>61647.12</v>
      </c>
      <c r="J30" s="246">
        <v>259911.34</v>
      </c>
    </row>
    <row r="31" spans="1:10" x14ac:dyDescent="0.25">
      <c r="B31" s="419" t="s">
        <v>171</v>
      </c>
      <c r="C31" s="64">
        <f t="shared" si="2"/>
        <v>15000</v>
      </c>
      <c r="D31" s="420">
        <f t="shared" si="1"/>
        <v>1.9975100105547098E-2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>
        <v>15000</v>
      </c>
      <c r="J31" s="246"/>
    </row>
    <row r="32" spans="1:10" x14ac:dyDescent="0.25">
      <c r="B32" s="419" t="s">
        <v>172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25">
      <c r="B33" s="419" t="s">
        <v>173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25">
      <c r="B34" s="419" t="s">
        <v>174</v>
      </c>
      <c r="C34" s="64">
        <f t="shared" si="2"/>
        <v>144411.43</v>
      </c>
      <c r="D34" s="420">
        <f t="shared" si="1"/>
        <v>0.19230885137568049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H34" s="246">
        <v>10372.540000000001</v>
      </c>
      <c r="I34" s="246">
        <v>46325.81</v>
      </c>
      <c r="J34" s="246">
        <v>87713.08</v>
      </c>
    </row>
    <row r="35" spans="1:10" x14ac:dyDescent="0.25">
      <c r="B35" s="419" t="s">
        <v>230</v>
      </c>
      <c r="C35" s="64">
        <f t="shared" si="2"/>
        <v>259516</v>
      </c>
      <c r="D35" s="420">
        <f t="shared" si="1"/>
        <v>0.34559053859941075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H35" s="246">
        <v>25259.16</v>
      </c>
      <c r="I35" s="246">
        <v>117322.46</v>
      </c>
      <c r="J35" s="246">
        <v>116934.38</v>
      </c>
    </row>
    <row r="36" spans="1:10" ht="15.75" thickBot="1" x14ac:dyDescent="0.3">
      <c r="B36" s="421" t="s">
        <v>175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/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/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/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/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/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/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25">
      <c r="B43" s="421"/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/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/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/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/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">
        <v>55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">
        <v>228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">
        <v>229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/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82" t="s">
        <v>22</v>
      </c>
      <c r="C52" s="342">
        <f>-SUBTOTAL(109,C53:C59)</f>
        <v>-460642.66</v>
      </c>
      <c r="D52" s="424">
        <f>-IFERROR(C52/$C$27,"0,00")</f>
        <v>0.61449096159636429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-444192.1</v>
      </c>
      <c r="I52" s="570">
        <f>-SUBTOTAL(109,I53:I59)</f>
        <v>-16450.559999999998</v>
      </c>
      <c r="J52" s="570">
        <f>-SUBTOTAL(109,J53:J59)</f>
        <v>0</v>
      </c>
    </row>
    <row r="53" spans="1:10" x14ac:dyDescent="0.25">
      <c r="B53" s="425" t="s">
        <v>254</v>
      </c>
      <c r="C53" s="62">
        <f>H53+I53+J53</f>
        <v>450059.19</v>
      </c>
      <c r="D53" s="426">
        <f>IFERROR(C53/$C$27,"0,00%")</f>
        <v>0.60037275843791982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H53" s="246">
        <v>434081.63</v>
      </c>
      <c r="I53" s="246">
        <v>15977.56</v>
      </c>
      <c r="J53" s="246"/>
    </row>
    <row r="54" spans="1:10" x14ac:dyDescent="0.25">
      <c r="B54" s="425" t="s">
        <v>255</v>
      </c>
      <c r="C54" s="62">
        <f t="shared" ref="C54:C57" si="3">H54+I54+J54</f>
        <v>0</v>
      </c>
      <c r="D54" s="426">
        <f t="shared" ref="D54:D59" si="4">IFERROR(C54/$C$27,"0,00%")</f>
        <v>0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">
        <v>256</v>
      </c>
      <c r="C55" s="62">
        <f>H55+I55+J55</f>
        <v>10103.469999999999</v>
      </c>
      <c r="D55" s="426">
        <f t="shared" si="4"/>
        <v>1.3477889771998144E-2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H55" s="246">
        <v>9630.4699999999993</v>
      </c>
      <c r="I55" s="246">
        <v>473</v>
      </c>
      <c r="J55" s="246"/>
    </row>
    <row r="56" spans="1:10" x14ac:dyDescent="0.25">
      <c r="B56" s="425" t="s">
        <v>257</v>
      </c>
      <c r="C56" s="62">
        <f t="shared" si="3"/>
        <v>480</v>
      </c>
      <c r="D56" s="426">
        <f t="shared" si="4"/>
        <v>6.403133864463505E-4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H56" s="246">
        <v>480</v>
      </c>
      <c r="I56" s="246"/>
      <c r="J56" s="246"/>
    </row>
    <row r="57" spans="1:10" ht="15.75" thickBot="1" x14ac:dyDescent="0.3">
      <c r="B57" s="425" t="s">
        <v>258</v>
      </c>
      <c r="C57" s="62">
        <f t="shared" si="3"/>
        <v>0</v>
      </c>
      <c r="D57" s="426">
        <f t="shared" si="4"/>
        <v>0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25">
      <c r="B58" s="425"/>
      <c r="C58" s="62"/>
      <c r="D58" s="426">
        <f t="shared" si="4"/>
        <v>0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/>
      <c r="C59" s="62"/>
      <c r="D59" s="426">
        <f t="shared" si="4"/>
        <v>0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82" t="s">
        <v>10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">
        <v>299</v>
      </c>
      <c r="C61" s="62">
        <f>H61+I61+J61</f>
        <v>0</v>
      </c>
      <c r="D61" s="426">
        <f t="shared" ref="D61:D69" si="5">IFERROR(C61/$C$27,"0,00%")</f>
        <v>0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">
        <v>295</v>
      </c>
      <c r="C62" s="62">
        <f t="shared" ref="C62:C69" si="6">H62+I62+J62</f>
        <v>0</v>
      </c>
      <c r="D62" s="426">
        <f t="shared" si="5"/>
        <v>0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">
        <v>296</v>
      </c>
      <c r="C63" s="62">
        <f t="shared" si="6"/>
        <v>0</v>
      </c>
      <c r="D63" s="426">
        <f t="shared" si="5"/>
        <v>0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">
        <v>297</v>
      </c>
      <c r="C64" s="62">
        <f t="shared" si="6"/>
        <v>0</v>
      </c>
      <c r="D64" s="426">
        <f t="shared" si="5"/>
        <v>0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">
        <v>298</v>
      </c>
      <c r="C65" s="62">
        <f t="shared" si="6"/>
        <v>0</v>
      </c>
      <c r="D65" s="426">
        <f t="shared" si="5"/>
        <v>0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25">
      <c r="B66" s="425"/>
      <c r="C66" s="62">
        <f t="shared" si="6"/>
        <v>0</v>
      </c>
      <c r="D66" s="426">
        <f t="shared" si="5"/>
        <v>0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25">
      <c r="B67" s="425"/>
      <c r="C67" s="62">
        <f t="shared" si="6"/>
        <v>0</v>
      </c>
      <c r="D67" s="426">
        <f t="shared" si="5"/>
        <v>0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25">
      <c r="B68" s="425"/>
      <c r="C68" s="62">
        <f t="shared" si="6"/>
        <v>0</v>
      </c>
      <c r="D68" s="426">
        <f t="shared" si="5"/>
        <v>0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/>
      <c r="C69" s="62">
        <f t="shared" si="6"/>
        <v>0</v>
      </c>
      <c r="D69" s="426">
        <f t="shared" si="5"/>
        <v>0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">
        <v>9</v>
      </c>
      <c r="C70" s="343">
        <f>-SUBTOTAL(109,C71:C84)</f>
        <v>-57986.559999999998</v>
      </c>
      <c r="D70" s="427">
        <f>-IFERROR(C70/$C$27,"0,00")</f>
        <v>7.7353272087446856E-2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-40063.589999999997</v>
      </c>
      <c r="I70" s="570">
        <f>-SUBTOTAL(109,I71:I84)</f>
        <v>-9132.86</v>
      </c>
      <c r="J70" s="570">
        <f>-SUBTOTAL(109,J71:J84)</f>
        <v>-8790.11</v>
      </c>
    </row>
    <row r="71" spans="1:10" hidden="1" x14ac:dyDescent="0.25">
      <c r="B71" s="483"/>
      <c r="C71" s="62"/>
      <c r="D71" s="426">
        <f t="shared" ref="D71:D84" si="7">IFERROR(C71/$C$27,"0,00%")</f>
        <v>0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83" t="s">
        <v>131</v>
      </c>
      <c r="C72" s="62">
        <f>H72+I72+J72</f>
        <v>0</v>
      </c>
      <c r="D72" s="426">
        <f t="shared" si="7"/>
        <v>0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83" t="s">
        <v>132</v>
      </c>
      <c r="C73" s="62">
        <f t="shared" ref="C73:C82" si="8">H73+I73+J73</f>
        <v>0</v>
      </c>
      <c r="D73" s="426">
        <f t="shared" si="7"/>
        <v>0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83" t="s">
        <v>259</v>
      </c>
      <c r="C74" s="62">
        <f t="shared" si="8"/>
        <v>12167.71</v>
      </c>
      <c r="D74" s="426">
        <f t="shared" si="7"/>
        <v>1.6231557490410674E-2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>
        <v>12167.71</v>
      </c>
      <c r="I74" s="284"/>
      <c r="J74" s="284"/>
    </row>
    <row r="75" spans="1:10" x14ac:dyDescent="0.25">
      <c r="B75" s="483" t="s">
        <v>260</v>
      </c>
      <c r="C75" s="62">
        <f t="shared" si="8"/>
        <v>2636.34</v>
      </c>
      <c r="D75" s="426">
        <f t="shared" si="7"/>
        <v>3.5168412358832749E-3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>
        <v>2636.34</v>
      </c>
      <c r="I75" s="284"/>
      <c r="J75" s="284"/>
    </row>
    <row r="76" spans="1:10" x14ac:dyDescent="0.25">
      <c r="B76" s="483" t="s">
        <v>261</v>
      </c>
      <c r="C76" s="62">
        <f t="shared" si="8"/>
        <v>20443.12</v>
      </c>
      <c r="D76" s="426">
        <f t="shared" si="7"/>
        <v>2.7270840409852327E-2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>
        <v>3181.23</v>
      </c>
      <c r="I76" s="284">
        <v>9132.86</v>
      </c>
      <c r="J76" s="284">
        <v>8129.03</v>
      </c>
    </row>
    <row r="77" spans="1:10" x14ac:dyDescent="0.25">
      <c r="B77" s="483" t="s">
        <v>247</v>
      </c>
      <c r="C77" s="62">
        <f t="shared" si="8"/>
        <v>10059.1</v>
      </c>
      <c r="D77" s="426">
        <f t="shared" si="7"/>
        <v>1.3418700803338511E-2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>
        <v>10059.1</v>
      </c>
      <c r="I77" s="284"/>
      <c r="J77" s="284"/>
    </row>
    <row r="78" spans="1:10" x14ac:dyDescent="0.25">
      <c r="B78" s="483" t="s">
        <v>320</v>
      </c>
      <c r="C78" s="62">
        <f t="shared" si="8"/>
        <v>0</v>
      </c>
      <c r="D78" s="426">
        <f t="shared" si="7"/>
        <v>0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83" t="s">
        <v>270</v>
      </c>
      <c r="C79" s="62">
        <f t="shared" si="8"/>
        <v>117.55</v>
      </c>
      <c r="D79" s="426">
        <f t="shared" si="7"/>
        <v>1.5681008036826772E-4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>
        <v>117.55</v>
      </c>
      <c r="I79" s="284"/>
      <c r="J79" s="284"/>
    </row>
    <row r="80" spans="1:10" hidden="1" x14ac:dyDescent="0.25">
      <c r="B80" s="483"/>
      <c r="C80" s="62">
        <f t="shared" si="8"/>
        <v>0</v>
      </c>
      <c r="D80" s="426">
        <f t="shared" si="7"/>
        <v>0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83"/>
      <c r="C81" s="62">
        <f t="shared" si="8"/>
        <v>0</v>
      </c>
      <c r="D81" s="426">
        <f t="shared" si="7"/>
        <v>0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83" t="s">
        <v>249</v>
      </c>
      <c r="C82" s="62">
        <f t="shared" si="8"/>
        <v>12562.74</v>
      </c>
      <c r="D82" s="426">
        <f t="shared" si="7"/>
        <v>1.6758522067593803E-2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>
        <v>11901.66</v>
      </c>
      <c r="I82" s="284">
        <v>0</v>
      </c>
      <c r="J82" s="284">
        <v>661.08</v>
      </c>
    </row>
    <row r="83" spans="1:10" hidden="1" x14ac:dyDescent="0.25">
      <c r="B83" s="483"/>
      <c r="C83" s="62"/>
      <c r="D83" s="426">
        <f t="shared" si="7"/>
        <v>0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83"/>
      <c r="C84" s="62"/>
      <c r="D84" s="426">
        <f t="shared" si="7"/>
        <v>0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">
        <v>18</v>
      </c>
      <c r="C85" s="343">
        <f>-SUBTOTAL(109,C52:C84)</f>
        <v>-518629.22</v>
      </c>
      <c r="D85" s="430">
        <f>IFERROR(C85/C27,"0,00%")</f>
        <v>-0.69184423368381109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-484255.68999999994</v>
      </c>
      <c r="I85" s="570">
        <f>-SUBTOTAL(109,I52:I84)</f>
        <v>-25583.42</v>
      </c>
      <c r="J85" s="570">
        <f>-SUBTOTAL(109,J52:J84)</f>
        <v>-8790.11</v>
      </c>
    </row>
    <row r="86" spans="1:10" ht="24" thickBot="1" x14ac:dyDescent="0.4">
      <c r="B86" s="484" t="s">
        <v>0</v>
      </c>
      <c r="C86" s="344">
        <f>SUM(C27,C85)</f>
        <v>231003.70999999996</v>
      </c>
      <c r="D86" s="432">
        <f>IFERROR(C86/C27,"0,00%")</f>
        <v>0.30815576631618891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85" t="s">
        <v>134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86" t="s">
        <v>2</v>
      </c>
      <c r="C88" s="346">
        <f>-SUBTOTAL(109,C89:C99)</f>
        <v>-60045.89</v>
      </c>
      <c r="D88" s="436">
        <f>-IFERROR(C88/$C$27,"0,00")</f>
        <v>8.0100389933510527E-2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-55684.22</v>
      </c>
      <c r="I88" s="570">
        <f>-SUBTOTAL(109,I89:I99)</f>
        <v>-822.24</v>
      </c>
      <c r="J88" s="570">
        <f>-SUBTOTAL(109,J89:J99)</f>
        <v>-3539.4300000000003</v>
      </c>
    </row>
    <row r="89" spans="1:10" x14ac:dyDescent="0.25">
      <c r="B89" s="487" t="s">
        <v>33</v>
      </c>
      <c r="C89" s="62">
        <f>H89+I89+J89</f>
        <v>2535</v>
      </c>
      <c r="D89" s="438">
        <f>IFERROR(C89/$C$27,"0,00%")</f>
        <v>3.3816550721697887E-3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H89" s="246">
        <v>2535</v>
      </c>
      <c r="I89" s="246"/>
      <c r="J89" s="246"/>
    </row>
    <row r="90" spans="1:10" x14ac:dyDescent="0.25">
      <c r="B90" s="487" t="s">
        <v>56</v>
      </c>
      <c r="C90" s="62">
        <f t="shared" ref="C90:C98" si="9">H90+I90+J90</f>
        <v>0</v>
      </c>
      <c r="D90" s="438">
        <f t="shared" ref="D90:D99" si="10">IFERROR(C90/$C$27,"0,00%")</f>
        <v>0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87" t="s">
        <v>58</v>
      </c>
      <c r="C91" s="62">
        <f t="shared" si="9"/>
        <v>0</v>
      </c>
      <c r="D91" s="438">
        <f t="shared" si="10"/>
        <v>0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25">
      <c r="B92" s="487" t="s">
        <v>133</v>
      </c>
      <c r="C92" s="62">
        <f t="shared" si="9"/>
        <v>0</v>
      </c>
      <c r="D92" s="438">
        <f t="shared" si="10"/>
        <v>0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87" t="s">
        <v>86</v>
      </c>
      <c r="C93" s="62">
        <f t="shared" si="9"/>
        <v>34232.57</v>
      </c>
      <c r="D93" s="438">
        <f t="shared" si="10"/>
        <v>4.5665776715545302E-2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H93" s="246">
        <v>34232.57</v>
      </c>
      <c r="I93" s="246"/>
      <c r="J93" s="246"/>
    </row>
    <row r="94" spans="1:10" x14ac:dyDescent="0.25">
      <c r="B94" s="487" t="s">
        <v>250</v>
      </c>
      <c r="C94" s="62">
        <f t="shared" si="9"/>
        <v>5767.8</v>
      </c>
      <c r="D94" s="438">
        <f t="shared" si="10"/>
        <v>7.69416572988596E-3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H94" s="246">
        <v>2987.86</v>
      </c>
      <c r="I94" s="246"/>
      <c r="J94" s="246">
        <v>2779.94</v>
      </c>
    </row>
    <row r="95" spans="1:10" x14ac:dyDescent="0.25">
      <c r="B95" s="487" t="s">
        <v>57</v>
      </c>
      <c r="C95" s="62">
        <f t="shared" si="9"/>
        <v>17461.460000000003</v>
      </c>
      <c r="D95" s="438">
        <f t="shared" si="10"/>
        <v>2.3293347051869778E-2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H95" s="246">
        <v>15879.73</v>
      </c>
      <c r="I95" s="246">
        <v>822.24</v>
      </c>
      <c r="J95" s="246">
        <v>759.49</v>
      </c>
    </row>
    <row r="96" spans="1:10" x14ac:dyDescent="0.25">
      <c r="B96" s="487" t="s">
        <v>87</v>
      </c>
      <c r="C96" s="62">
        <f t="shared" si="9"/>
        <v>0</v>
      </c>
      <c r="D96" s="438">
        <f t="shared" si="10"/>
        <v>0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87" t="s">
        <v>147</v>
      </c>
      <c r="C97" s="62">
        <f t="shared" si="9"/>
        <v>0</v>
      </c>
      <c r="D97" s="438">
        <f t="shared" si="10"/>
        <v>0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87" t="s">
        <v>301</v>
      </c>
      <c r="C98" s="62">
        <f t="shared" si="9"/>
        <v>49.06</v>
      </c>
      <c r="D98" s="438">
        <f t="shared" si="10"/>
        <v>6.5445364039704083E-5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H98" s="246">
        <v>49.06</v>
      </c>
      <c r="I98" s="246"/>
      <c r="J98" s="246"/>
    </row>
    <row r="99" spans="1:10" hidden="1" x14ac:dyDescent="0.25">
      <c r="B99" s="487"/>
      <c r="C99" s="62"/>
      <c r="D99" s="438">
        <f t="shared" si="10"/>
        <v>0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">
        <v>221</v>
      </c>
      <c r="C100" s="346">
        <f>-SUBTOTAL(109,C101:C130)</f>
        <v>-64579.58</v>
      </c>
      <c r="D100" s="436">
        <f>-IFERROR(C100/$C$27,"0,00")</f>
        <v>8.6148269927256271E-2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-64226.58</v>
      </c>
      <c r="I100" s="570">
        <f>-SUBTOTAL(109,I101:I130)</f>
        <v>-353</v>
      </c>
      <c r="J100" s="570">
        <f>-SUBTOTAL(109,J101:J130)</f>
        <v>0</v>
      </c>
    </row>
    <row r="101" spans="1:10" x14ac:dyDescent="0.25">
      <c r="B101" s="437" t="s">
        <v>252</v>
      </c>
      <c r="C101" s="62">
        <f>H101+I101+J101</f>
        <v>31184.5</v>
      </c>
      <c r="D101" s="438">
        <f t="shared" ref="D101:D130" si="11">IFERROR(C101/$C$27,"0,00%")</f>
        <v>4.1599693332575453E-2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H101" s="246">
        <v>31184.5</v>
      </c>
      <c r="I101" s="246"/>
      <c r="J101" s="246"/>
    </row>
    <row r="102" spans="1:10" x14ac:dyDescent="0.25">
      <c r="B102" s="437" t="s">
        <v>176</v>
      </c>
      <c r="C102" s="62">
        <f t="shared" ref="C102:C123" si="12">H102+I102+J102</f>
        <v>1400</v>
      </c>
      <c r="D102" s="438">
        <f t="shared" si="11"/>
        <v>1.8675807104685223E-3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H102" s="246">
        <v>1400</v>
      </c>
      <c r="I102" s="246"/>
      <c r="J102" s="246"/>
    </row>
    <row r="103" spans="1:10" x14ac:dyDescent="0.25">
      <c r="B103" s="487" t="s">
        <v>89</v>
      </c>
      <c r="C103" s="62">
        <f t="shared" si="12"/>
        <v>3219.28</v>
      </c>
      <c r="D103" s="438">
        <f t="shared" si="11"/>
        <v>4.2944751639979323E-3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H103" s="246">
        <v>2866.28</v>
      </c>
      <c r="I103" s="246">
        <v>353</v>
      </c>
      <c r="J103" s="246"/>
    </row>
    <row r="104" spans="1:10" x14ac:dyDescent="0.25">
      <c r="B104" s="487" t="s">
        <v>34</v>
      </c>
      <c r="C104" s="62">
        <f t="shared" si="12"/>
        <v>0</v>
      </c>
      <c r="D104" s="438">
        <f t="shared" si="11"/>
        <v>0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87" t="s">
        <v>92</v>
      </c>
      <c r="C105" s="62">
        <f t="shared" si="12"/>
        <v>492.03</v>
      </c>
      <c r="D105" s="438">
        <f t="shared" si="11"/>
        <v>6.5636124069416214E-4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H105" s="246">
        <v>492.03</v>
      </c>
      <c r="I105" s="246"/>
      <c r="J105" s="246"/>
    </row>
    <row r="106" spans="1:10" x14ac:dyDescent="0.25">
      <c r="B106" s="487" t="s">
        <v>90</v>
      </c>
      <c r="C106" s="62">
        <f t="shared" si="12"/>
        <v>650.47</v>
      </c>
      <c r="D106" s="438">
        <f t="shared" si="11"/>
        <v>8.6771801767032849E-4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H106" s="246">
        <v>650.47</v>
      </c>
      <c r="I106" s="246"/>
      <c r="J106" s="246"/>
    </row>
    <row r="107" spans="1:10" x14ac:dyDescent="0.25">
      <c r="B107" s="487" t="s">
        <v>91</v>
      </c>
      <c r="C107" s="62">
        <f t="shared" si="12"/>
        <v>0</v>
      </c>
      <c r="D107" s="438">
        <f t="shared" si="11"/>
        <v>0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25">
      <c r="B108" s="487" t="s">
        <v>93</v>
      </c>
      <c r="C108" s="62">
        <f t="shared" si="12"/>
        <v>1536</v>
      </c>
      <c r="D108" s="438">
        <f t="shared" si="11"/>
        <v>2.0490028366283216E-3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H108" s="246">
        <v>1536</v>
      </c>
      <c r="I108" s="246"/>
      <c r="J108" s="246"/>
    </row>
    <row r="109" spans="1:10" x14ac:dyDescent="0.25">
      <c r="B109" s="487" t="s">
        <v>94</v>
      </c>
      <c r="C109" s="62">
        <f t="shared" si="12"/>
        <v>0</v>
      </c>
      <c r="D109" s="438">
        <f t="shared" si="11"/>
        <v>0</v>
      </c>
      <c r="E109" s="317">
        <v>1.00036758032117</v>
      </c>
      <c r="F109"/>
      <c r="I109" s="246"/>
      <c r="J109" s="246"/>
    </row>
    <row r="110" spans="1:10" x14ac:dyDescent="0.25">
      <c r="B110" s="437" t="s">
        <v>88</v>
      </c>
      <c r="C110" s="62">
        <f t="shared" si="12"/>
        <v>0</v>
      </c>
      <c r="D110" s="438">
        <f t="shared" si="11"/>
        <v>0</v>
      </c>
      <c r="E110" s="317">
        <v>1.00036758032117</v>
      </c>
      <c r="F110"/>
      <c r="I110" s="246"/>
      <c r="J110" s="246"/>
    </row>
    <row r="111" spans="1:10" x14ac:dyDescent="0.25">
      <c r="B111" s="437" t="s">
        <v>271</v>
      </c>
      <c r="C111" s="62">
        <f t="shared" si="12"/>
        <v>2500</v>
      </c>
      <c r="D111" s="438">
        <f t="shared" si="11"/>
        <v>3.3349655544080759E-3</v>
      </c>
      <c r="E111" s="317">
        <v>2.00036758032117</v>
      </c>
      <c r="F111"/>
      <c r="H111" s="246">
        <v>2500</v>
      </c>
      <c r="I111" s="246"/>
      <c r="J111" s="246"/>
    </row>
    <row r="112" spans="1:10" x14ac:dyDescent="0.25">
      <c r="B112" s="487" t="s">
        <v>95</v>
      </c>
      <c r="C112" s="62">
        <f t="shared" si="12"/>
        <v>350</v>
      </c>
      <c r="D112" s="438">
        <f t="shared" si="11"/>
        <v>4.6689517761713058E-4</v>
      </c>
      <c r="E112" s="317">
        <v>3.00036758032117</v>
      </c>
      <c r="F112"/>
      <c r="H112" s="246">
        <v>350</v>
      </c>
      <c r="I112" s="246"/>
      <c r="J112" s="246"/>
    </row>
    <row r="113" spans="2:10" x14ac:dyDescent="0.25">
      <c r="B113" s="487" t="s">
        <v>96</v>
      </c>
      <c r="C113" s="62">
        <f t="shared" si="12"/>
        <v>2161</v>
      </c>
      <c r="D113" s="438">
        <f t="shared" si="11"/>
        <v>2.8827442252303405E-3</v>
      </c>
      <c r="E113" s="317">
        <v>4.0003675803211696</v>
      </c>
      <c r="F113"/>
      <c r="H113" s="246">
        <v>2161</v>
      </c>
      <c r="I113" s="246"/>
      <c r="J113" s="246"/>
    </row>
    <row r="114" spans="2:10" x14ac:dyDescent="0.25">
      <c r="B114" s="487" t="s">
        <v>97</v>
      </c>
      <c r="C114" s="62">
        <f t="shared" si="12"/>
        <v>11529.3</v>
      </c>
      <c r="D114" s="438">
        <f t="shared" si="11"/>
        <v>1.537992734657481E-2</v>
      </c>
      <c r="E114" s="317">
        <v>5.0003675803211696</v>
      </c>
      <c r="F114"/>
      <c r="H114" s="284">
        <v>11529.3</v>
      </c>
      <c r="I114" s="284"/>
      <c r="J114" s="284"/>
    </row>
    <row r="115" spans="2:10" x14ac:dyDescent="0.25">
      <c r="B115" s="487" t="s">
        <v>98</v>
      </c>
      <c r="C115" s="62">
        <f t="shared" si="12"/>
        <v>88</v>
      </c>
      <c r="D115" s="438">
        <f t="shared" si="11"/>
        <v>1.1739078751516427E-4</v>
      </c>
      <c r="E115" s="317">
        <v>6.0003675803211696</v>
      </c>
      <c r="F115"/>
      <c r="H115" s="246">
        <v>88</v>
      </c>
      <c r="I115" s="246"/>
      <c r="J115" s="246"/>
    </row>
    <row r="116" spans="2:10" x14ac:dyDescent="0.25">
      <c r="B116" s="487" t="s">
        <v>99</v>
      </c>
      <c r="C116" s="62">
        <f t="shared" si="12"/>
        <v>0</v>
      </c>
      <c r="D116" s="438">
        <f t="shared" si="11"/>
        <v>0</v>
      </c>
      <c r="E116" s="317">
        <v>7.0003675803211696</v>
      </c>
      <c r="F116"/>
      <c r="I116" s="246"/>
      <c r="J116" s="246"/>
    </row>
    <row r="117" spans="2:10" x14ac:dyDescent="0.25">
      <c r="B117" s="487" t="s">
        <v>100</v>
      </c>
      <c r="C117" s="62">
        <f t="shared" si="12"/>
        <v>0</v>
      </c>
      <c r="D117" s="438">
        <f t="shared" si="11"/>
        <v>0</v>
      </c>
      <c r="E117" s="317">
        <v>8.0003675803211696</v>
      </c>
      <c r="F117"/>
      <c r="I117" s="246"/>
      <c r="J117" s="246"/>
    </row>
    <row r="118" spans="2:10" x14ac:dyDescent="0.25">
      <c r="B118" s="487" t="s">
        <v>101</v>
      </c>
      <c r="C118" s="62">
        <f t="shared" si="12"/>
        <v>0</v>
      </c>
      <c r="D118" s="438">
        <f>IFERROR(C118/$C$27,"0,00%")</f>
        <v>0</v>
      </c>
      <c r="E118" s="317">
        <v>9.0003675803211696</v>
      </c>
      <c r="F118"/>
      <c r="I118" s="246"/>
      <c r="J118" s="246"/>
    </row>
    <row r="119" spans="2:10" x14ac:dyDescent="0.25">
      <c r="B119" s="487" t="s">
        <v>102</v>
      </c>
      <c r="C119" s="62">
        <f t="shared" si="12"/>
        <v>0</v>
      </c>
      <c r="D119" s="438">
        <f t="shared" si="11"/>
        <v>0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87" t="s">
        <v>290</v>
      </c>
      <c r="C120" s="62">
        <f t="shared" si="12"/>
        <v>9469</v>
      </c>
      <c r="D120" s="438">
        <f t="shared" si="11"/>
        <v>1.2631515533876028E-2</v>
      </c>
      <c r="E120" s="317" t="e">
        <f>#REF!</f>
        <v>#REF!</v>
      </c>
      <c r="F120"/>
      <c r="H120" s="246">
        <v>9469</v>
      </c>
      <c r="I120" s="246"/>
      <c r="J120" s="246"/>
    </row>
    <row r="121" spans="2:10" x14ac:dyDescent="0.25">
      <c r="B121" s="487" t="s">
        <v>104</v>
      </c>
      <c r="C121" s="62">
        <f t="shared" si="12"/>
        <v>0</v>
      </c>
      <c r="D121" s="438">
        <f t="shared" si="11"/>
        <v>0</v>
      </c>
      <c r="E121" s="317" t="e">
        <f>#REF!</f>
        <v>#REF!</v>
      </c>
      <c r="F121"/>
      <c r="I121" s="246"/>
      <c r="J121" s="246"/>
    </row>
    <row r="122" spans="2:10" x14ac:dyDescent="0.25">
      <c r="B122" s="487" t="s">
        <v>103</v>
      </c>
      <c r="C122" s="62">
        <f t="shared" si="12"/>
        <v>0</v>
      </c>
      <c r="D122" s="438">
        <f t="shared" si="11"/>
        <v>0</v>
      </c>
      <c r="E122" s="317" t="e">
        <f>#REF!</f>
        <v>#REF!</v>
      </c>
      <c r="F122"/>
      <c r="I122" s="246"/>
      <c r="J122" s="246"/>
    </row>
    <row r="123" spans="2:10" x14ac:dyDescent="0.25">
      <c r="B123" s="487" t="s">
        <v>105</v>
      </c>
      <c r="C123" s="62">
        <f t="shared" si="12"/>
        <v>0</v>
      </c>
      <c r="D123" s="438">
        <f t="shared" si="11"/>
        <v>0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87"/>
      <c r="C124" s="62">
        <v>0</v>
      </c>
      <c r="D124" s="438">
        <f t="shared" si="11"/>
        <v>0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87"/>
      <c r="C125" s="62"/>
      <c r="D125" s="438">
        <f t="shared" si="11"/>
        <v>0</v>
      </c>
      <c r="E125" s="317" t="e">
        <f>#REF!</f>
        <v>#REF!</v>
      </c>
      <c r="F125"/>
      <c r="I125" s="246"/>
      <c r="J125" s="246"/>
    </row>
    <row r="126" spans="2:10" hidden="1" x14ac:dyDescent="0.25">
      <c r="B126" s="487"/>
      <c r="C126" s="62"/>
      <c r="D126" s="438">
        <f t="shared" si="11"/>
        <v>0</v>
      </c>
      <c r="E126" s="317" t="e">
        <f>#REF!</f>
        <v>#REF!</v>
      </c>
      <c r="F126"/>
      <c r="I126" s="246"/>
      <c r="J126" s="246"/>
    </row>
    <row r="127" spans="2:10" hidden="1" x14ac:dyDescent="0.25">
      <c r="B127" s="487"/>
      <c r="C127" s="62"/>
      <c r="D127" s="438">
        <f t="shared" si="11"/>
        <v>0</v>
      </c>
      <c r="E127" s="317" t="e">
        <f>#REF!</f>
        <v>#REF!</v>
      </c>
      <c r="F127"/>
      <c r="I127" s="246"/>
      <c r="J127" s="246"/>
    </row>
    <row r="128" spans="2:10" hidden="1" x14ac:dyDescent="0.25">
      <c r="B128" s="487"/>
      <c r="C128" s="62"/>
      <c r="D128" s="438">
        <f t="shared" si="11"/>
        <v>0</v>
      </c>
      <c r="E128" s="317" t="e">
        <f>#REF!</f>
        <v>#REF!</v>
      </c>
      <c r="F128"/>
      <c r="I128" s="246"/>
      <c r="J128" s="246"/>
    </row>
    <row r="129" spans="1:10" hidden="1" x14ac:dyDescent="0.25">
      <c r="B129" s="487"/>
      <c r="C129" s="62"/>
      <c r="D129" s="438">
        <f t="shared" si="11"/>
        <v>0</v>
      </c>
      <c r="E129" s="317" t="e">
        <f>#REF!</f>
        <v>#REF!</v>
      </c>
      <c r="F129"/>
      <c r="I129" s="246"/>
      <c r="J129" s="246"/>
    </row>
    <row r="130" spans="1:10" hidden="1" x14ac:dyDescent="0.25">
      <c r="B130" s="487"/>
      <c r="C130" s="62"/>
      <c r="D130" s="438">
        <f t="shared" si="11"/>
        <v>0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">
        <v>222</v>
      </c>
      <c r="C131" s="346">
        <f>-SUBTOTAL(109,C132:C144)</f>
        <v>-5693.12</v>
      </c>
      <c r="D131" s="436">
        <f>-IFERROR(C131/$C$27,"0,00")</f>
        <v>7.5945436388446816E-3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-5395.34</v>
      </c>
      <c r="I131" s="570">
        <f>-SUBTOTAL(109,I132:I144)</f>
        <v>0</v>
      </c>
      <c r="J131" s="570">
        <f>-SUBTOTAL(109,J132:J144)</f>
        <v>-297.77999999999997</v>
      </c>
    </row>
    <row r="132" spans="1:10" x14ac:dyDescent="0.25">
      <c r="B132" s="437" t="s">
        <v>106</v>
      </c>
      <c r="C132" s="62">
        <f>H132+I132+J132</f>
        <v>0</v>
      </c>
      <c r="D132" s="438">
        <f t="shared" ref="D132:D144" si="13">IFERROR(C132/$C$27,"0,00%")</f>
        <v>0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/>
      <c r="C133" s="62">
        <f t="shared" ref="C133:C139" si="14">H133+I133+J133</f>
        <v>0</v>
      </c>
      <c r="D133" s="438">
        <f t="shared" si="13"/>
        <v>0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">
        <v>302</v>
      </c>
      <c r="C134" s="62">
        <f t="shared" si="14"/>
        <v>2050</v>
      </c>
      <c r="D134" s="438">
        <f t="shared" si="13"/>
        <v>2.7346717546146222E-3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H134" s="246">
        <v>2050</v>
      </c>
      <c r="I134" s="246"/>
      <c r="J134" s="246"/>
    </row>
    <row r="135" spans="1:10" x14ac:dyDescent="0.25">
      <c r="B135" s="487" t="s">
        <v>107</v>
      </c>
      <c r="C135" s="62">
        <f t="shared" si="14"/>
        <v>3163.12</v>
      </c>
      <c r="D135" s="438">
        <f t="shared" si="13"/>
        <v>4.2195584977837092E-3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H135" s="246">
        <v>2865.34</v>
      </c>
      <c r="I135" s="246">
        <v>0</v>
      </c>
      <c r="J135" s="246">
        <v>297.77999999999997</v>
      </c>
    </row>
    <row r="136" spans="1:10" x14ac:dyDescent="0.25">
      <c r="B136" s="487" t="s">
        <v>226</v>
      </c>
      <c r="C136" s="62">
        <f t="shared" si="14"/>
        <v>480</v>
      </c>
      <c r="D136" s="438">
        <f t="shared" si="13"/>
        <v>6.403133864463505E-4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H136" s="246">
        <v>480</v>
      </c>
      <c r="I136" s="246"/>
      <c r="J136" s="246"/>
    </row>
    <row r="137" spans="1:10" x14ac:dyDescent="0.25">
      <c r="B137" s="487" t="s">
        <v>272</v>
      </c>
      <c r="C137" s="62">
        <f t="shared" si="14"/>
        <v>0</v>
      </c>
      <c r="D137" s="438">
        <f t="shared" si="13"/>
        <v>0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87" t="s">
        <v>108</v>
      </c>
      <c r="C138" s="62">
        <f t="shared" si="14"/>
        <v>0</v>
      </c>
      <c r="D138" s="438">
        <f t="shared" si="13"/>
        <v>0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87" t="s">
        <v>262</v>
      </c>
      <c r="C139" s="62">
        <f t="shared" si="14"/>
        <v>0</v>
      </c>
      <c r="D139" s="438">
        <f t="shared" si="13"/>
        <v>0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25">
      <c r="B140" s="487" t="s">
        <v>109</v>
      </c>
      <c r="C140" s="62"/>
      <c r="D140" s="438">
        <f t="shared" si="13"/>
        <v>0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87"/>
      <c r="C141" s="62"/>
      <c r="D141" s="438">
        <f t="shared" si="13"/>
        <v>0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87"/>
      <c r="C142" s="62"/>
      <c r="D142" s="438">
        <f t="shared" si="13"/>
        <v>0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87"/>
      <c r="C143" s="62"/>
      <c r="D143" s="438">
        <f t="shared" si="13"/>
        <v>0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87"/>
      <c r="C144" s="62"/>
      <c r="D144" s="438">
        <f t="shared" si="13"/>
        <v>0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86" t="s">
        <v>5</v>
      </c>
      <c r="C145" s="346">
        <f>-SUBTOTAL(109,C146:C166)</f>
        <v>-34177.839999999997</v>
      </c>
      <c r="D145" s="436">
        <f>-IFERROR(C145/$C$27,"0,00")</f>
        <v>4.5592767649628198E-2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-33957.839999999997</v>
      </c>
      <c r="I145" s="570">
        <f>-SUBTOTAL(109,I146:I166)</f>
        <v>-220</v>
      </c>
      <c r="J145" s="570">
        <f>-SUBTOTAL(109,J146:J166)</f>
        <v>0</v>
      </c>
    </row>
    <row r="146" spans="1:10" x14ac:dyDescent="0.25">
      <c r="B146" s="487" t="s">
        <v>35</v>
      </c>
      <c r="C146" s="62">
        <f>H146+I146+J146</f>
        <v>1344.42</v>
      </c>
      <c r="D146" s="438">
        <f t="shared" ref="D146:D166" si="15">IFERROR(C146/$C$27,"0,00%")</f>
        <v>1.7934377562629222E-3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H146" s="246">
        <v>1344.42</v>
      </c>
      <c r="I146" s="246"/>
      <c r="J146" s="246"/>
    </row>
    <row r="147" spans="1:10" x14ac:dyDescent="0.25">
      <c r="B147" s="487" t="s">
        <v>36</v>
      </c>
      <c r="C147" s="62">
        <f t="shared" ref="C147:C165" si="16">H147+I147+J147</f>
        <v>2000.05</v>
      </c>
      <c r="D147" s="438">
        <f t="shared" si="15"/>
        <v>2.6680391428375487E-3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H147" s="246">
        <v>1905.05</v>
      </c>
      <c r="I147" s="246">
        <v>95</v>
      </c>
      <c r="J147" s="246"/>
    </row>
    <row r="148" spans="1:10" x14ac:dyDescent="0.25">
      <c r="B148" s="487" t="s">
        <v>54</v>
      </c>
      <c r="C148" s="62">
        <f t="shared" si="16"/>
        <v>0</v>
      </c>
      <c r="D148" s="438">
        <f t="shared" si="15"/>
        <v>0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87" t="s">
        <v>37</v>
      </c>
      <c r="C149" s="62">
        <f t="shared" si="16"/>
        <v>0</v>
      </c>
      <c r="D149" s="438">
        <f t="shared" si="15"/>
        <v>0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87"/>
      <c r="C150" s="62">
        <f t="shared" si="16"/>
        <v>0</v>
      </c>
      <c r="D150" s="438">
        <f t="shared" si="15"/>
        <v>0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87" t="s">
        <v>251</v>
      </c>
      <c r="C151" s="62">
        <f t="shared" si="16"/>
        <v>0</v>
      </c>
      <c r="D151" s="438">
        <f t="shared" si="15"/>
        <v>0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25">
      <c r="B152" s="487" t="s">
        <v>110</v>
      </c>
      <c r="C152" s="62">
        <f t="shared" si="16"/>
        <v>1450</v>
      </c>
      <c r="D152" s="438">
        <f t="shared" si="15"/>
        <v>1.934280021556684E-3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H152" s="246">
        <v>1450</v>
      </c>
      <c r="I152" s="246"/>
      <c r="J152" s="246"/>
    </row>
    <row r="153" spans="1:10" x14ac:dyDescent="0.25">
      <c r="B153" s="487" t="s">
        <v>111</v>
      </c>
      <c r="C153" s="62">
        <f t="shared" si="16"/>
        <v>245</v>
      </c>
      <c r="D153" s="438">
        <f t="shared" si="15"/>
        <v>3.2682662433199144E-4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H153" s="246">
        <v>120</v>
      </c>
      <c r="I153" s="246">
        <v>125</v>
      </c>
      <c r="J153" s="246"/>
    </row>
    <row r="154" spans="1:10" x14ac:dyDescent="0.25">
      <c r="B154" s="487" t="s">
        <v>112</v>
      </c>
      <c r="C154" s="62">
        <f t="shared" si="16"/>
        <v>0</v>
      </c>
      <c r="D154" s="438">
        <f t="shared" si="15"/>
        <v>0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25">
      <c r="B155" s="487" t="s">
        <v>85</v>
      </c>
      <c r="C155" s="62">
        <f t="shared" si="16"/>
        <v>1618.05</v>
      </c>
      <c r="D155" s="438">
        <f t="shared" si="15"/>
        <v>2.1584564061239947E-3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H155" s="246">
        <v>1618.05</v>
      </c>
      <c r="I155" s="246"/>
      <c r="J155" s="246"/>
    </row>
    <row r="156" spans="1:10" x14ac:dyDescent="0.25">
      <c r="B156" s="487" t="s">
        <v>127</v>
      </c>
      <c r="C156" s="62">
        <f t="shared" si="16"/>
        <v>0</v>
      </c>
      <c r="D156" s="438">
        <f t="shared" si="15"/>
        <v>0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87" t="s">
        <v>23</v>
      </c>
      <c r="C157" s="62">
        <f t="shared" si="16"/>
        <v>0</v>
      </c>
      <c r="D157" s="438">
        <f t="shared" si="15"/>
        <v>0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87" t="s">
        <v>128</v>
      </c>
      <c r="C158" s="62">
        <f t="shared" si="16"/>
        <v>601</v>
      </c>
      <c r="D158" s="438">
        <f t="shared" si="15"/>
        <v>8.0172571927970143E-4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H158" s="246">
        <v>601</v>
      </c>
      <c r="I158" s="246"/>
      <c r="J158" s="246"/>
    </row>
    <row r="159" spans="1:10" x14ac:dyDescent="0.25">
      <c r="B159" s="487" t="s">
        <v>113</v>
      </c>
      <c r="C159" s="62">
        <f t="shared" si="16"/>
        <v>983.32</v>
      </c>
      <c r="D159" s="438">
        <f t="shared" si="15"/>
        <v>1.3117353315842196E-3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H159" s="246">
        <v>983.32</v>
      </c>
      <c r="I159" s="246"/>
      <c r="J159" s="246"/>
    </row>
    <row r="160" spans="1:10" x14ac:dyDescent="0.25">
      <c r="B160" s="487" t="s">
        <v>114</v>
      </c>
      <c r="C160" s="62">
        <f t="shared" si="16"/>
        <v>0</v>
      </c>
      <c r="D160" s="438">
        <f t="shared" si="15"/>
        <v>0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">
        <v>24</v>
      </c>
      <c r="C161" s="62">
        <f t="shared" si="16"/>
        <v>25936</v>
      </c>
      <c r="D161" s="438">
        <f t="shared" si="15"/>
        <v>3.4598266647651144E-2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H161" s="246">
        <v>25936</v>
      </c>
      <c r="I161" s="246"/>
      <c r="J161" s="246"/>
    </row>
    <row r="162" spans="1:10" x14ac:dyDescent="0.25">
      <c r="B162" s="487" t="s">
        <v>53</v>
      </c>
      <c r="C162" s="62">
        <f t="shared" si="16"/>
        <v>0</v>
      </c>
      <c r="D162" s="438">
        <f t="shared" si="15"/>
        <v>0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87" t="s">
        <v>135</v>
      </c>
      <c r="C163" s="62">
        <f t="shared" si="16"/>
        <v>0</v>
      </c>
      <c r="D163" s="438">
        <f t="shared" si="15"/>
        <v>0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87" t="s">
        <v>115</v>
      </c>
      <c r="C164" s="62">
        <f t="shared" si="16"/>
        <v>0</v>
      </c>
      <c r="D164" s="438">
        <f t="shared" si="15"/>
        <v>0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">
        <v>158</v>
      </c>
      <c r="C165" s="62">
        <f t="shared" si="16"/>
        <v>0</v>
      </c>
      <c r="D165" s="438">
        <f t="shared" si="15"/>
        <v>0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87"/>
      <c r="C166" s="62"/>
      <c r="D166" s="438">
        <f t="shared" si="15"/>
        <v>0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86" t="s">
        <v>12</v>
      </c>
      <c r="C167" s="346">
        <f>-SUBTOTAL(109,C168:C181)</f>
        <v>-33111.79</v>
      </c>
      <c r="D167" s="436">
        <f>-IFERROR(C167/$C$27,"0,00")</f>
        <v>4.4170671637917512E-2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-25323.75</v>
      </c>
      <c r="I167" s="570">
        <f>-SUBTOTAL(109,I168:I181)</f>
        <v>-6270.04</v>
      </c>
      <c r="J167" s="570">
        <f>-SUBTOTAL(109,J168:J181)</f>
        <v>-1518</v>
      </c>
    </row>
    <row r="168" spans="1:10" x14ac:dyDescent="0.25">
      <c r="B168" s="487" t="s">
        <v>38</v>
      </c>
      <c r="C168" s="62">
        <f>H168+I168+J168</f>
        <v>384.61</v>
      </c>
      <c r="D168" s="438">
        <f t="shared" ref="D168:D181" si="17">IFERROR(C168/$C$27,"0,00%")</f>
        <v>5.1306444075235598E-4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H168" s="246">
        <v>384.61</v>
      </c>
      <c r="I168" s="246"/>
      <c r="J168" s="246"/>
    </row>
    <row r="169" spans="1:10" x14ac:dyDescent="0.25">
      <c r="B169" s="487" t="s">
        <v>39</v>
      </c>
      <c r="C169" s="62">
        <f t="shared" ref="C169:C178" si="18">H169+I169+J169</f>
        <v>5592.25</v>
      </c>
      <c r="D169" s="438">
        <f t="shared" si="17"/>
        <v>7.4599844486554247E-3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H169" s="246">
        <v>3722.21</v>
      </c>
      <c r="I169" s="246">
        <v>1870.04</v>
      </c>
      <c r="J169" s="246"/>
    </row>
    <row r="170" spans="1:10" x14ac:dyDescent="0.25">
      <c r="B170" s="487" t="s">
        <v>129</v>
      </c>
      <c r="C170" s="62">
        <f t="shared" si="18"/>
        <v>928.7</v>
      </c>
      <c r="D170" s="438">
        <f t="shared" si="17"/>
        <v>1.238873004151512E-3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>
        <v>928.7</v>
      </c>
      <c r="I170" s="284"/>
      <c r="J170" s="284"/>
    </row>
    <row r="171" spans="1:10" x14ac:dyDescent="0.25">
      <c r="B171" s="487" t="s">
        <v>130</v>
      </c>
      <c r="C171" s="62">
        <f t="shared" si="18"/>
        <v>918.23</v>
      </c>
      <c r="D171" s="438">
        <f t="shared" si="17"/>
        <v>1.224906168409651E-3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H171" s="246">
        <v>918.23</v>
      </c>
      <c r="I171" s="246"/>
      <c r="J171" s="246"/>
    </row>
    <row r="172" spans="1:10" x14ac:dyDescent="0.25">
      <c r="B172" s="487" t="s">
        <v>40</v>
      </c>
      <c r="C172" s="62">
        <f t="shared" si="18"/>
        <v>18400</v>
      </c>
      <c r="D172" s="438">
        <f t="shared" si="17"/>
        <v>2.4545346480443438E-2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H172" s="246">
        <v>14000</v>
      </c>
      <c r="I172" s="246">
        <v>4400</v>
      </c>
      <c r="J172" s="246"/>
    </row>
    <row r="173" spans="1:10" x14ac:dyDescent="0.25">
      <c r="B173" s="487" t="s">
        <v>41</v>
      </c>
      <c r="C173" s="62">
        <f t="shared" si="18"/>
        <v>0</v>
      </c>
      <c r="D173" s="438">
        <f t="shared" si="17"/>
        <v>0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87" t="s">
        <v>42</v>
      </c>
      <c r="C174" s="62">
        <f t="shared" si="18"/>
        <v>670</v>
      </c>
      <c r="D174" s="438">
        <f t="shared" si="17"/>
        <v>8.9377076858136425E-4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H174" s="246">
        <v>670</v>
      </c>
      <c r="I174" s="246"/>
      <c r="J174" s="246"/>
    </row>
    <row r="175" spans="1:10" hidden="1" x14ac:dyDescent="0.25">
      <c r="B175" s="487"/>
      <c r="C175" s="62">
        <f t="shared" si="18"/>
        <v>0</v>
      </c>
      <c r="D175" s="438">
        <f t="shared" si="17"/>
        <v>0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87" t="s">
        <v>43</v>
      </c>
      <c r="C176" s="62">
        <f t="shared" si="18"/>
        <v>0</v>
      </c>
      <c r="D176" s="438">
        <f t="shared" si="17"/>
        <v>0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87" t="s">
        <v>116</v>
      </c>
      <c r="C177" s="62">
        <f t="shared" si="18"/>
        <v>6218</v>
      </c>
      <c r="D177" s="438">
        <f t="shared" si="17"/>
        <v>8.2947263269237664E-3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H177" s="246">
        <v>4700</v>
      </c>
      <c r="I177" s="246">
        <v>0</v>
      </c>
      <c r="J177" s="246">
        <v>1518</v>
      </c>
    </row>
    <row r="178" spans="1:10" x14ac:dyDescent="0.25">
      <c r="B178" s="487" t="s">
        <v>239</v>
      </c>
      <c r="C178" s="62">
        <f t="shared" si="18"/>
        <v>0</v>
      </c>
      <c r="D178" s="438">
        <f t="shared" si="17"/>
        <v>0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87"/>
      <c r="C179" s="62"/>
      <c r="D179" s="438">
        <f t="shared" si="17"/>
        <v>0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87"/>
      <c r="C180" s="62"/>
      <c r="D180" s="438">
        <f t="shared" si="17"/>
        <v>0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87"/>
      <c r="C181" s="62"/>
      <c r="D181" s="438">
        <f t="shared" si="17"/>
        <v>0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">
        <v>223</v>
      </c>
      <c r="C182" s="346">
        <f>-SUBTOTAL(109,C183:C199)</f>
        <v>-23254.140000000003</v>
      </c>
      <c r="D182" s="436">
        <f>-IFERROR(C182/$C$27,"0,00")</f>
        <v>3.1020702358953208E-2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-23035.57</v>
      </c>
      <c r="I182" s="570">
        <f>-SUBTOTAL(109,I183:I199)</f>
        <v>-124.9</v>
      </c>
      <c r="J182" s="570">
        <f>-SUBTOTAL(109,J183:J199)</f>
        <v>-93.67</v>
      </c>
    </row>
    <row r="183" spans="1:10" x14ac:dyDescent="0.25">
      <c r="B183" s="487" t="s">
        <v>117</v>
      </c>
      <c r="C183" s="62">
        <f>H183+I183+J183</f>
        <v>1154.2700000000002</v>
      </c>
      <c r="D183" s="438">
        <f t="shared" ref="D183:D199" si="19">IFERROR(C183/$C$27,"0,00%")</f>
        <v>1.5397802761946441E-3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H183" s="246">
        <v>935.7</v>
      </c>
      <c r="I183" s="246">
        <v>124.9</v>
      </c>
      <c r="J183" s="246">
        <v>93.67</v>
      </c>
    </row>
    <row r="184" spans="1:10" x14ac:dyDescent="0.25">
      <c r="B184" s="487" t="s">
        <v>44</v>
      </c>
      <c r="C184" s="62">
        <f t="shared" ref="C184:C199" si="20">H184+I184+J184</f>
        <v>873.47</v>
      </c>
      <c r="D184" s="438">
        <f t="shared" si="19"/>
        <v>1.1651969451235288E-3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H184" s="246">
        <v>873.47</v>
      </c>
      <c r="I184" s="246"/>
      <c r="J184" s="246"/>
    </row>
    <row r="185" spans="1:10" x14ac:dyDescent="0.25">
      <c r="B185" s="487" t="s">
        <v>150</v>
      </c>
      <c r="C185" s="62">
        <f t="shared" si="20"/>
        <v>0</v>
      </c>
      <c r="D185" s="438">
        <f t="shared" si="19"/>
        <v>0</v>
      </c>
      <c r="E185" s="317">
        <v>-11</v>
      </c>
      <c r="F185"/>
      <c r="I185" s="246"/>
      <c r="J185" s="246"/>
    </row>
    <row r="186" spans="1:10" hidden="1" x14ac:dyDescent="0.25">
      <c r="B186" s="487"/>
      <c r="C186" s="62">
        <f t="shared" si="20"/>
        <v>0</v>
      </c>
      <c r="D186" s="438">
        <f t="shared" si="19"/>
        <v>0</v>
      </c>
      <c r="E186" s="317">
        <v>-10</v>
      </c>
      <c r="F186"/>
      <c r="I186" s="246"/>
      <c r="J186" s="246"/>
    </row>
    <row r="187" spans="1:10" x14ac:dyDescent="0.25">
      <c r="B187" s="487" t="s">
        <v>136</v>
      </c>
      <c r="C187" s="62">
        <f t="shared" si="20"/>
        <v>0</v>
      </c>
      <c r="D187" s="438">
        <f t="shared" si="19"/>
        <v>0</v>
      </c>
      <c r="E187" s="317">
        <v>-9</v>
      </c>
      <c r="F187"/>
      <c r="I187" s="246"/>
      <c r="J187" s="246"/>
    </row>
    <row r="188" spans="1:10" hidden="1" x14ac:dyDescent="0.25">
      <c r="B188" s="487"/>
      <c r="C188" s="62">
        <f t="shared" si="20"/>
        <v>0</v>
      </c>
      <c r="D188" s="438">
        <f t="shared" si="19"/>
        <v>0</v>
      </c>
      <c r="E188" s="317">
        <v>-8</v>
      </c>
      <c r="F188"/>
      <c r="I188" s="246"/>
      <c r="J188" s="246"/>
    </row>
    <row r="189" spans="1:10" x14ac:dyDescent="0.25">
      <c r="B189" s="487" t="s">
        <v>137</v>
      </c>
      <c r="C189" s="62">
        <f t="shared" si="20"/>
        <v>0</v>
      </c>
      <c r="D189" s="438">
        <f t="shared" si="19"/>
        <v>0</v>
      </c>
      <c r="E189" s="317">
        <v>-7</v>
      </c>
      <c r="F189"/>
      <c r="I189" s="246"/>
      <c r="J189" s="246"/>
    </row>
    <row r="190" spans="1:10" x14ac:dyDescent="0.25">
      <c r="B190" s="487" t="s">
        <v>242</v>
      </c>
      <c r="C190" s="62">
        <f t="shared" si="20"/>
        <v>21226.400000000001</v>
      </c>
      <c r="D190" s="438">
        <f t="shared" si="19"/>
        <v>2.8315725137635032E-2</v>
      </c>
      <c r="E190" s="317">
        <v>-6</v>
      </c>
      <c r="F190"/>
      <c r="H190" s="246">
        <v>21226.400000000001</v>
      </c>
      <c r="I190" s="246"/>
      <c r="J190" s="246"/>
    </row>
    <row r="191" spans="1:10" x14ac:dyDescent="0.25">
      <c r="B191" s="487" t="s">
        <v>138</v>
      </c>
      <c r="C191" s="62">
        <f t="shared" si="20"/>
        <v>0</v>
      </c>
      <c r="D191" s="438">
        <f t="shared" si="19"/>
        <v>0</v>
      </c>
      <c r="E191" s="317">
        <v>-5</v>
      </c>
      <c r="F191"/>
      <c r="I191" s="246"/>
      <c r="J191" s="246"/>
    </row>
    <row r="192" spans="1:10" x14ac:dyDescent="0.25">
      <c r="B192" s="487" t="s">
        <v>139</v>
      </c>
      <c r="C192" s="62">
        <f t="shared" si="20"/>
        <v>0</v>
      </c>
      <c r="D192" s="438">
        <f t="shared" si="19"/>
        <v>0</v>
      </c>
      <c r="E192" s="317">
        <v>-4</v>
      </c>
      <c r="F192"/>
      <c r="I192" s="246"/>
      <c r="J192" s="246"/>
    </row>
    <row r="193" spans="1:10" hidden="1" x14ac:dyDescent="0.25">
      <c r="B193" s="487"/>
      <c r="C193" s="62">
        <f t="shared" si="20"/>
        <v>0</v>
      </c>
      <c r="D193" s="438">
        <f t="shared" si="19"/>
        <v>0</v>
      </c>
      <c r="E193" s="317">
        <v>-3</v>
      </c>
      <c r="F193"/>
      <c r="I193" s="246"/>
      <c r="J193" s="246"/>
    </row>
    <row r="194" spans="1:10" x14ac:dyDescent="0.25">
      <c r="B194" s="487" t="s">
        <v>275</v>
      </c>
      <c r="C194" s="62">
        <f t="shared" si="20"/>
        <v>0</v>
      </c>
      <c r="D194" s="438">
        <f t="shared" si="19"/>
        <v>0</v>
      </c>
      <c r="E194" s="317">
        <v>-2</v>
      </c>
      <c r="F194"/>
      <c r="I194" s="246"/>
      <c r="J194" s="246"/>
    </row>
    <row r="195" spans="1:10" hidden="1" x14ac:dyDescent="0.25">
      <c r="B195" s="487"/>
      <c r="C195" s="62">
        <f t="shared" si="20"/>
        <v>0</v>
      </c>
      <c r="D195" s="438">
        <f t="shared" si="19"/>
        <v>0</v>
      </c>
      <c r="E195" s="317">
        <v>-1</v>
      </c>
      <c r="F195"/>
      <c r="I195" s="246"/>
      <c r="J195" s="246"/>
    </row>
    <row r="196" spans="1:10" x14ac:dyDescent="0.25">
      <c r="B196" s="487" t="s">
        <v>227</v>
      </c>
      <c r="C196" s="62">
        <f t="shared" si="20"/>
        <v>0</v>
      </c>
      <c r="D196" s="438">
        <f t="shared" si="19"/>
        <v>0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87" t="s">
        <v>118</v>
      </c>
      <c r="C197" s="62">
        <f t="shared" si="20"/>
        <v>0</v>
      </c>
      <c r="D197" s="438">
        <f t="shared" si="19"/>
        <v>0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87" t="s">
        <v>148</v>
      </c>
      <c r="C198" s="62">
        <f t="shared" si="20"/>
        <v>0</v>
      </c>
      <c r="D198" s="438">
        <f t="shared" si="19"/>
        <v>0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87" t="s">
        <v>159</v>
      </c>
      <c r="C199" s="62">
        <f t="shared" si="20"/>
        <v>0</v>
      </c>
      <c r="D199" s="438">
        <f t="shared" si="19"/>
        <v>0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86" t="s">
        <v>253</v>
      </c>
      <c r="C200" s="346">
        <f>-SUBTOTAL(109,C201:C211)</f>
        <v>-14367.27</v>
      </c>
      <c r="D200" s="436">
        <f>-IFERROR(C200/$C$27,"0,00")</f>
        <v>1.9165740224352208E-2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-13111.46</v>
      </c>
      <c r="I200" s="570">
        <f>-SUBTOTAL(109,I201:I211)</f>
        <v>-1255.81</v>
      </c>
      <c r="J200" s="570">
        <f>-SUBTOTAL(109,J201:J211)</f>
        <v>0</v>
      </c>
    </row>
    <row r="201" spans="1:10" x14ac:dyDescent="0.25">
      <c r="B201" s="487" t="s">
        <v>45</v>
      </c>
      <c r="C201" s="62">
        <f>H201+I201+J201</f>
        <v>6442.2199999999993</v>
      </c>
      <c r="D201" s="438">
        <f t="shared" ref="D201:D211" si="21">IFERROR(C201/$C$27,"0,00%")</f>
        <v>8.5938327175675167E-3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H201" s="246">
        <v>5186.41</v>
      </c>
      <c r="I201" s="246">
        <v>1255.81</v>
      </c>
      <c r="J201" s="246"/>
    </row>
    <row r="202" spans="1:10" x14ac:dyDescent="0.25">
      <c r="B202" s="487" t="s">
        <v>46</v>
      </c>
      <c r="C202" s="62">
        <f t="shared" ref="C202:C209" si="22">H202+I202+J202</f>
        <v>0</v>
      </c>
      <c r="D202" s="438">
        <f t="shared" si="21"/>
        <v>0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25">
      <c r="B203" s="487" t="s">
        <v>47</v>
      </c>
      <c r="C203" s="62">
        <f t="shared" si="22"/>
        <v>0</v>
      </c>
      <c r="D203" s="438">
        <f t="shared" si="21"/>
        <v>0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87" t="s">
        <v>48</v>
      </c>
      <c r="C204" s="62">
        <f t="shared" si="22"/>
        <v>0</v>
      </c>
      <c r="D204" s="438">
        <f t="shared" si="21"/>
        <v>0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87" t="s">
        <v>119</v>
      </c>
      <c r="C205" s="62">
        <f t="shared" si="22"/>
        <v>0</v>
      </c>
      <c r="D205" s="438">
        <f t="shared" si="21"/>
        <v>0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87" t="s">
        <v>120</v>
      </c>
      <c r="C206" s="62">
        <f t="shared" si="22"/>
        <v>7805.05</v>
      </c>
      <c r="D206" s="438">
        <f t="shared" si="21"/>
        <v>1.0411829160173101E-2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H206" s="246">
        <v>7805.05</v>
      </c>
      <c r="I206" s="246"/>
      <c r="J206" s="246"/>
    </row>
    <row r="207" spans="1:10" x14ac:dyDescent="0.25">
      <c r="B207" s="487" t="s">
        <v>273</v>
      </c>
      <c r="C207" s="62">
        <f t="shared" si="22"/>
        <v>120</v>
      </c>
      <c r="D207" s="438">
        <f t="shared" si="21"/>
        <v>1.6007834661158762E-4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H207" s="246">
        <v>120</v>
      </c>
      <c r="I207" s="246"/>
      <c r="J207" s="246"/>
    </row>
    <row r="208" spans="1:10" x14ac:dyDescent="0.25">
      <c r="B208" s="487" t="s">
        <v>121</v>
      </c>
      <c r="C208" s="62">
        <f t="shared" si="22"/>
        <v>0</v>
      </c>
      <c r="D208" s="438">
        <f t="shared" si="21"/>
        <v>0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87" t="s">
        <v>146</v>
      </c>
      <c r="C209" s="62">
        <f t="shared" si="22"/>
        <v>0</v>
      </c>
      <c r="D209" s="438">
        <f t="shared" si="21"/>
        <v>0</v>
      </c>
      <c r="E209" s="319" t="e">
        <f>#REF!</f>
        <v>#REF!</v>
      </c>
      <c r="F209"/>
      <c r="I209" s="246"/>
      <c r="J209" s="246"/>
    </row>
    <row r="210" spans="1:10" hidden="1" x14ac:dyDescent="0.25">
      <c r="B210" s="487"/>
      <c r="C210" s="62"/>
      <c r="D210" s="438">
        <f t="shared" si="21"/>
        <v>0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87"/>
      <c r="C211" s="62"/>
      <c r="D211" s="438">
        <f t="shared" si="21"/>
        <v>0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86" t="s">
        <v>224</v>
      </c>
      <c r="C212" s="346">
        <f>-SUBTOTAL(109,C213:C230)</f>
        <v>-29.17</v>
      </c>
      <c r="D212" s="436">
        <f>-IFERROR(C212/$C$27,"0,00")</f>
        <v>3.8912378088833431E-5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-29.17</v>
      </c>
      <c r="I212" s="570"/>
      <c r="J212" s="570"/>
    </row>
    <row r="213" spans="1:10" hidden="1" x14ac:dyDescent="0.25">
      <c r="B213" s="487"/>
      <c r="C213" s="62"/>
      <c r="D213" s="438">
        <f t="shared" ref="D213:D230" si="23">IFERROR(C213/$C$27,"0,00%")</f>
        <v>0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87"/>
      <c r="C214" s="62"/>
      <c r="D214" s="438">
        <f t="shared" si="23"/>
        <v>0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87" t="s">
        <v>140</v>
      </c>
      <c r="C215" s="62">
        <f>H215+I215+J215</f>
        <v>29.17</v>
      </c>
      <c r="D215" s="438">
        <f t="shared" si="23"/>
        <v>3.8912378088833431E-5</v>
      </c>
      <c r="E215" s="317" t="e">
        <f>#REF!</f>
        <v>#REF!</v>
      </c>
      <c r="F215"/>
      <c r="H215" s="246">
        <v>29.17</v>
      </c>
      <c r="I215" s="246"/>
      <c r="J215" s="246"/>
    </row>
    <row r="216" spans="1:10" hidden="1" x14ac:dyDescent="0.25">
      <c r="B216" s="487"/>
      <c r="C216" s="62">
        <f t="shared" ref="C216:C228" si="24">H216+I216+J216</f>
        <v>0</v>
      </c>
      <c r="D216" s="438">
        <f t="shared" si="23"/>
        <v>0</v>
      </c>
      <c r="E216" s="317" t="e">
        <f>#REF!</f>
        <v>#REF!</v>
      </c>
      <c r="F216"/>
      <c r="I216" s="246"/>
      <c r="J216" s="246"/>
    </row>
    <row r="217" spans="1:10" x14ac:dyDescent="0.25">
      <c r="B217" s="487" t="s">
        <v>122</v>
      </c>
      <c r="C217" s="62">
        <f t="shared" si="24"/>
        <v>0</v>
      </c>
      <c r="D217" s="438">
        <f t="shared" si="23"/>
        <v>0</v>
      </c>
      <c r="E217" s="317" t="e">
        <f>#REF!</f>
        <v>#REF!</v>
      </c>
      <c r="F217"/>
      <c r="I217" s="246"/>
      <c r="J217" s="246"/>
    </row>
    <row r="218" spans="1:10" x14ac:dyDescent="0.25">
      <c r="B218" s="487" t="s">
        <v>123</v>
      </c>
      <c r="C218" s="62">
        <f t="shared" si="24"/>
        <v>0</v>
      </c>
      <c r="D218" s="438">
        <f t="shared" si="23"/>
        <v>0</v>
      </c>
      <c r="E218" s="317" t="e">
        <f>#REF!</f>
        <v>#REF!</v>
      </c>
      <c r="F218"/>
      <c r="I218" s="246"/>
      <c r="J218" s="246"/>
    </row>
    <row r="219" spans="1:10" x14ac:dyDescent="0.25">
      <c r="B219" s="487" t="s">
        <v>124</v>
      </c>
      <c r="C219" s="62">
        <f t="shared" si="24"/>
        <v>0</v>
      </c>
      <c r="D219" s="438">
        <f t="shared" si="23"/>
        <v>0</v>
      </c>
      <c r="E219" s="317" t="e">
        <f>#REF!</f>
        <v>#REF!</v>
      </c>
      <c r="F219"/>
      <c r="I219" s="246"/>
      <c r="J219" s="246"/>
    </row>
    <row r="220" spans="1:10" x14ac:dyDescent="0.25">
      <c r="B220" s="487" t="s">
        <v>141</v>
      </c>
      <c r="C220" s="62">
        <f t="shared" si="24"/>
        <v>0</v>
      </c>
      <c r="D220" s="438">
        <f t="shared" si="23"/>
        <v>0</v>
      </c>
      <c r="E220" s="317" t="e">
        <f>#REF!</f>
        <v>#REF!</v>
      </c>
      <c r="F220"/>
      <c r="I220" s="246"/>
      <c r="J220" s="246"/>
    </row>
    <row r="221" spans="1:10" x14ac:dyDescent="0.25">
      <c r="B221" s="487" t="s">
        <v>142</v>
      </c>
      <c r="C221" s="62">
        <f t="shared" si="24"/>
        <v>0</v>
      </c>
      <c r="D221" s="438">
        <f t="shared" si="23"/>
        <v>0</v>
      </c>
      <c r="E221" s="317" t="e">
        <f>#REF!</f>
        <v>#REF!</v>
      </c>
      <c r="F221"/>
      <c r="I221" s="246"/>
      <c r="J221" s="246"/>
    </row>
    <row r="222" spans="1:10" x14ac:dyDescent="0.25">
      <c r="B222" s="487" t="s">
        <v>143</v>
      </c>
      <c r="C222" s="62">
        <f t="shared" si="24"/>
        <v>0</v>
      </c>
      <c r="D222" s="438">
        <f t="shared" si="23"/>
        <v>0</v>
      </c>
      <c r="E222" s="317" t="e">
        <f>#REF!</f>
        <v>#REF!</v>
      </c>
      <c r="F222"/>
      <c r="I222" s="246"/>
      <c r="J222" s="246"/>
    </row>
    <row r="223" spans="1:10" x14ac:dyDescent="0.25">
      <c r="B223" s="487" t="s">
        <v>125</v>
      </c>
      <c r="C223" s="62">
        <f t="shared" si="24"/>
        <v>0</v>
      </c>
      <c r="D223" s="438">
        <f t="shared" si="23"/>
        <v>0</v>
      </c>
      <c r="E223" s="317" t="e">
        <f>#REF!</f>
        <v>#REF!</v>
      </c>
      <c r="F223"/>
      <c r="I223" s="246"/>
      <c r="J223" s="246"/>
    </row>
    <row r="224" spans="1:10" x14ac:dyDescent="0.25">
      <c r="B224" s="487" t="s">
        <v>144</v>
      </c>
      <c r="C224" s="62">
        <f t="shared" si="24"/>
        <v>0</v>
      </c>
      <c r="D224" s="438">
        <f t="shared" si="23"/>
        <v>0</v>
      </c>
      <c r="E224" s="317" t="e">
        <f>#REF!</f>
        <v>#REF!</v>
      </c>
      <c r="F224"/>
      <c r="I224" s="246"/>
      <c r="J224" s="246"/>
    </row>
    <row r="225" spans="2:14" x14ac:dyDescent="0.25">
      <c r="B225" s="487" t="s">
        <v>145</v>
      </c>
      <c r="C225" s="62">
        <f t="shared" si="24"/>
        <v>0</v>
      </c>
      <c r="D225" s="438">
        <f t="shared" si="23"/>
        <v>0</v>
      </c>
      <c r="E225" s="317" t="e">
        <f>#REF!</f>
        <v>#REF!</v>
      </c>
      <c r="F225"/>
      <c r="I225" s="246"/>
      <c r="J225" s="246"/>
    </row>
    <row r="226" spans="2:14" hidden="1" x14ac:dyDescent="0.25">
      <c r="B226" s="487"/>
      <c r="C226" s="62">
        <f t="shared" si="24"/>
        <v>0</v>
      </c>
      <c r="D226" s="438">
        <f t="shared" si="23"/>
        <v>0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87"/>
      <c r="C227" s="62">
        <f t="shared" si="24"/>
        <v>0</v>
      </c>
      <c r="D227" s="438">
        <f t="shared" si="23"/>
        <v>0</v>
      </c>
      <c r="E227" s="317" t="e">
        <f>#REF!</f>
        <v>#REF!</v>
      </c>
      <c r="F227"/>
      <c r="I227" s="246"/>
      <c r="J227" s="246"/>
    </row>
    <row r="228" spans="2:14" x14ac:dyDescent="0.25">
      <c r="B228" s="487" t="s">
        <v>126</v>
      </c>
      <c r="C228" s="62">
        <f t="shared" si="24"/>
        <v>0</v>
      </c>
      <c r="D228" s="438">
        <f t="shared" si="23"/>
        <v>0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87"/>
      <c r="C229" s="62"/>
      <c r="D229" s="438">
        <f t="shared" si="23"/>
        <v>0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87"/>
      <c r="C230" s="62"/>
      <c r="D230" s="438">
        <f t="shared" si="23"/>
        <v>0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86" t="s">
        <v>225</v>
      </c>
      <c r="C231" s="346">
        <f>-SUBTOTAL(109,C232:C235)</f>
        <v>-219.15</v>
      </c>
      <c r="D231" s="436">
        <f>-IFERROR(C231/$C$27,"0,00")</f>
        <v>2.9234308049941191E-4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-219.15</v>
      </c>
    </row>
    <row r="232" spans="2:14" x14ac:dyDescent="0.25">
      <c r="B232" s="487" t="s">
        <v>220</v>
      </c>
      <c r="C232" s="62">
        <f>H232+I232+J232</f>
        <v>0</v>
      </c>
      <c r="D232" s="438">
        <f t="shared" ref="D232:D237" si="25">IFERROR(C232/$C$27,"0,00%")</f>
        <v>0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87" t="s">
        <v>219</v>
      </c>
      <c r="C233" s="62">
        <f>H233+I233+J233</f>
        <v>219.15</v>
      </c>
      <c r="D233" s="438">
        <f t="shared" si="25"/>
        <v>2.9234308049941191E-4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>
        <v>0</v>
      </c>
      <c r="J233" s="246">
        <v>219.15</v>
      </c>
    </row>
    <row r="234" spans="2:14" hidden="1" x14ac:dyDescent="0.25">
      <c r="B234" s="487"/>
      <c r="C234" s="62"/>
      <c r="D234" s="438">
        <f t="shared" si="25"/>
        <v>0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87"/>
      <c r="C235" s="62"/>
      <c r="D235" s="438">
        <f t="shared" si="25"/>
        <v>0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">
        <v>20</v>
      </c>
      <c r="C236" s="347">
        <f>-SUBTOTAL(109,C88:C235)</f>
        <v>-235477.94999999998</v>
      </c>
      <c r="D236" s="441">
        <f t="shared" si="25"/>
        <v>-0.31412434082905083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-220763.93000000002</v>
      </c>
      <c r="I236" s="570">
        <f>-SUBTOTAL(109,I88:I235)</f>
        <v>-9045.99</v>
      </c>
      <c r="J236" s="570">
        <f>-SUBTOTAL(109,J88:J235)</f>
        <v>-5668.03</v>
      </c>
    </row>
    <row r="237" spans="2:14" ht="27" thickBot="1" x14ac:dyDescent="0.45">
      <c r="B237" s="442" t="s">
        <v>15</v>
      </c>
      <c r="C237" s="348">
        <f>SUM(C86,C236)</f>
        <v>-4474.2400000000198</v>
      </c>
      <c r="D237" s="443">
        <f t="shared" si="25"/>
        <v>-5.9685745128619421E-3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">
        <v>59</v>
      </c>
      <c r="C238" s="349">
        <f>+SUBTOTAL(109,C239:C271)</f>
        <v>1301.98</v>
      </c>
      <c r="D238" s="445">
        <f>SUM(D239,D248,D261)</f>
        <v>1.7338120556946806E-3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0.4</v>
      </c>
      <c r="I238" s="570">
        <f>+SUBTOTAL(109,I239:I271)</f>
        <v>0</v>
      </c>
      <c r="J238" s="570">
        <f>+SUBTOTAL(109,J239:J271)</f>
        <v>1301.58</v>
      </c>
    </row>
    <row r="239" spans="2:14" s="1" customFormat="1" ht="24" thickBot="1" x14ac:dyDescent="0.4">
      <c r="B239" s="417" t="s">
        <v>177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">
        <v>178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">
        <v>179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">
        <v>180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">
        <v>181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/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/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/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/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">
        <v>188</v>
      </c>
      <c r="C248" s="341">
        <f>SUBTOTAL(109,C249:C260)</f>
        <v>0.4</v>
      </c>
      <c r="D248" s="418">
        <f t="shared" si="26"/>
        <v>5.326693361479227E-7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0.4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">
        <v>187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">
        <v>186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">
        <v>185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">
        <v>184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">
        <v>183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">
        <v>182</v>
      </c>
      <c r="C254" s="62">
        <f t="shared" si="28"/>
        <v>0.4</v>
      </c>
      <c r="D254" s="420">
        <f t="shared" si="26"/>
        <v>5.326693361479227E-7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H254" s="246">
        <v>0.4</v>
      </c>
      <c r="I254" s="246"/>
      <c r="J254" s="246"/>
    </row>
    <row r="255" spans="2:10" x14ac:dyDescent="0.25">
      <c r="B255" s="419" t="s">
        <v>241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">
        <v>276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">
        <v>277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419"/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/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/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">
        <v>189</v>
      </c>
      <c r="C261" s="341">
        <f>SUBTOTAL(109,C262:C271)</f>
        <v>1301.58</v>
      </c>
      <c r="D261" s="418">
        <f t="shared" si="26"/>
        <v>1.7332793863585327E-3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1301.58</v>
      </c>
    </row>
    <row r="262" spans="2:10" x14ac:dyDescent="0.25">
      <c r="B262" s="419" t="s">
        <v>190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">
        <v>191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">
        <v>192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">
        <v>193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25">
      <c r="B266" s="419" t="s">
        <v>194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/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">
        <v>195</v>
      </c>
      <c r="C268" s="62">
        <f t="shared" si="29"/>
        <v>1301.58</v>
      </c>
      <c r="D268" s="420">
        <f t="shared" si="26"/>
        <v>1.7332793863585327E-3</v>
      </c>
      <c r="E268" s="325" t="e">
        <f>#REF!</f>
        <v>#REF!</v>
      </c>
      <c r="F268"/>
      <c r="I268" s="246">
        <v>0</v>
      </c>
      <c r="J268" s="246">
        <v>1301.58</v>
      </c>
    </row>
    <row r="269" spans="2:10" x14ac:dyDescent="0.25">
      <c r="B269" s="419" t="s">
        <v>323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25">
      <c r="B270" s="419" t="s">
        <v>263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thickBot="1" x14ac:dyDescent="0.3">
      <c r="B271" s="419" t="s">
        <v>264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88" t="s">
        <v>11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89" t="s">
        <v>197</v>
      </c>
      <c r="C273" s="346">
        <f>-SUBTOTAL(109,C274:C293)</f>
        <v>-18250.93</v>
      </c>
      <c r="D273" s="436">
        <f>-IFERROR(C273/$C$332,"0,00")</f>
        <v>2.4304276917955517E-2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-18250.93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90" t="s">
        <v>200</v>
      </c>
      <c r="C274" s="62">
        <f>H274+I274+J274</f>
        <v>18250.93</v>
      </c>
      <c r="D274" s="450">
        <f t="shared" ref="D274:D293" si="30">IFERROR(C274/$C$332,"0,00%")</f>
        <v>2.4304276917955517E-2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H274" s="246">
        <v>18250.93</v>
      </c>
      <c r="I274" s="246"/>
      <c r="J274" s="246"/>
    </row>
    <row r="275" spans="2:10" x14ac:dyDescent="0.25">
      <c r="B275" s="490" t="s">
        <v>196</v>
      </c>
      <c r="C275" s="62">
        <f t="shared" ref="C275:C277" si="31">H275+I275+J275</f>
        <v>0</v>
      </c>
      <c r="D275" s="450">
        <f t="shared" si="30"/>
        <v>0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90" t="s">
        <v>198</v>
      </c>
      <c r="C276" s="62">
        <f t="shared" si="31"/>
        <v>0</v>
      </c>
      <c r="D276" s="450">
        <f t="shared" si="30"/>
        <v>0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90" t="s">
        <v>199</v>
      </c>
      <c r="C277" s="62">
        <f t="shared" si="31"/>
        <v>0</v>
      </c>
      <c r="D277" s="450">
        <f t="shared" si="30"/>
        <v>0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90"/>
      <c r="C278" s="80"/>
      <c r="D278" s="450">
        <f t="shared" si="30"/>
        <v>0</v>
      </c>
      <c r="E278" s="329" t="e">
        <f>#REF!</f>
        <v>#REF!</v>
      </c>
      <c r="F278"/>
      <c r="I278" s="246"/>
      <c r="J278" s="246"/>
    </row>
    <row r="279" spans="2:10" hidden="1" x14ac:dyDescent="0.25">
      <c r="B279" s="490"/>
      <c r="C279" s="80"/>
      <c r="D279" s="450">
        <f t="shared" si="30"/>
        <v>0</v>
      </c>
      <c r="E279" s="329" t="e">
        <f>#REF!</f>
        <v>#REF!</v>
      </c>
      <c r="F279"/>
      <c r="I279" s="246"/>
      <c r="J279" s="246"/>
    </row>
    <row r="280" spans="2:10" hidden="1" x14ac:dyDescent="0.25">
      <c r="B280" s="490"/>
      <c r="C280" s="80"/>
      <c r="D280" s="450">
        <f t="shared" si="30"/>
        <v>0</v>
      </c>
      <c r="E280" s="329" t="e">
        <f>#REF!</f>
        <v>#REF!</v>
      </c>
      <c r="F280"/>
      <c r="I280" s="246"/>
      <c r="J280" s="246"/>
    </row>
    <row r="281" spans="2:10" hidden="1" x14ac:dyDescent="0.25">
      <c r="B281" s="490"/>
      <c r="C281" s="80"/>
      <c r="D281" s="450">
        <f t="shared" si="30"/>
        <v>0</v>
      </c>
      <c r="E281" s="329" t="e">
        <f>#REF!</f>
        <v>#REF!</v>
      </c>
      <c r="F281"/>
      <c r="I281" s="246"/>
      <c r="J281" s="246"/>
    </row>
    <row r="282" spans="2:10" hidden="1" x14ac:dyDescent="0.25">
      <c r="B282" s="490"/>
      <c r="C282" s="80"/>
      <c r="D282" s="450">
        <f t="shared" si="30"/>
        <v>0</v>
      </c>
      <c r="E282" s="329" t="e">
        <f>#REF!</f>
        <v>#REF!</v>
      </c>
      <c r="F282"/>
      <c r="I282" s="246"/>
      <c r="J282" s="246"/>
    </row>
    <row r="283" spans="2:10" hidden="1" x14ac:dyDescent="0.25">
      <c r="B283" s="490"/>
      <c r="C283" s="80"/>
      <c r="D283" s="450">
        <f t="shared" si="30"/>
        <v>0</v>
      </c>
      <c r="E283" s="329" t="e">
        <f>#REF!</f>
        <v>#REF!</v>
      </c>
      <c r="F283"/>
      <c r="I283" s="246"/>
      <c r="J283" s="246"/>
    </row>
    <row r="284" spans="2:10" hidden="1" x14ac:dyDescent="0.25">
      <c r="B284" s="490"/>
      <c r="C284" s="80"/>
      <c r="D284" s="450">
        <f t="shared" si="30"/>
        <v>0</v>
      </c>
      <c r="E284" s="329" t="e">
        <f>#REF!</f>
        <v>#REF!</v>
      </c>
      <c r="F284"/>
      <c r="I284" s="246"/>
      <c r="J284" s="246"/>
    </row>
    <row r="285" spans="2:10" hidden="1" x14ac:dyDescent="0.25">
      <c r="B285" s="490"/>
      <c r="C285" s="80"/>
      <c r="D285" s="450">
        <f t="shared" si="30"/>
        <v>0</v>
      </c>
      <c r="E285" s="329" t="e">
        <f>#REF!</f>
        <v>#REF!</v>
      </c>
      <c r="F285"/>
      <c r="I285" s="246"/>
      <c r="J285" s="246"/>
    </row>
    <row r="286" spans="2:10" hidden="1" x14ac:dyDescent="0.25">
      <c r="B286" s="490"/>
      <c r="C286" s="80"/>
      <c r="D286" s="450">
        <f t="shared" si="30"/>
        <v>0</v>
      </c>
      <c r="E286" s="329" t="e">
        <f>#REF!</f>
        <v>#REF!</v>
      </c>
      <c r="F286"/>
      <c r="I286" s="246"/>
      <c r="J286" s="246"/>
    </row>
    <row r="287" spans="2:10" hidden="1" x14ac:dyDescent="0.25">
      <c r="B287" s="490"/>
      <c r="C287" s="80"/>
      <c r="D287" s="450">
        <f t="shared" si="30"/>
        <v>0</v>
      </c>
      <c r="E287" s="329" t="e">
        <f>#REF!</f>
        <v>#REF!</v>
      </c>
      <c r="F287"/>
      <c r="I287" s="246"/>
      <c r="J287" s="246"/>
    </row>
    <row r="288" spans="2:10" hidden="1" x14ac:dyDescent="0.25">
      <c r="B288" s="490"/>
      <c r="C288" s="80"/>
      <c r="D288" s="450">
        <f t="shared" si="30"/>
        <v>0</v>
      </c>
      <c r="E288" s="329" t="e">
        <f>#REF!</f>
        <v>#REF!</v>
      </c>
      <c r="F288"/>
      <c r="I288" s="246"/>
      <c r="J288" s="246"/>
    </row>
    <row r="289" spans="2:10" hidden="1" x14ac:dyDescent="0.25">
      <c r="B289" s="490"/>
      <c r="C289" s="80"/>
      <c r="D289" s="450">
        <f t="shared" si="30"/>
        <v>0</v>
      </c>
      <c r="E289" s="329" t="e">
        <f>#REF!</f>
        <v>#REF!</v>
      </c>
      <c r="F289"/>
      <c r="I289" s="246"/>
      <c r="J289" s="246"/>
    </row>
    <row r="290" spans="2:10" hidden="1" x14ac:dyDescent="0.25">
      <c r="B290" s="490"/>
      <c r="C290" s="80"/>
      <c r="D290" s="450">
        <f t="shared" si="30"/>
        <v>0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90"/>
      <c r="C291" s="80"/>
      <c r="D291" s="450">
        <f t="shared" si="30"/>
        <v>0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90"/>
      <c r="C292" s="80"/>
      <c r="D292" s="450">
        <f t="shared" si="30"/>
        <v>0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90"/>
      <c r="C293" s="80"/>
      <c r="D293" s="450">
        <f t="shared" si="30"/>
        <v>0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91" t="s">
        <v>201</v>
      </c>
      <c r="C294" s="346">
        <f>-SUBTOTAL(109,C295:C314)</f>
        <v>-12574.220000000001</v>
      </c>
      <c r="D294" s="436">
        <f>-IFERROR(C294/$C$332,"0,00")</f>
        <v>1.674475354994483E-2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-12574.220000000001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90" t="s">
        <v>202</v>
      </c>
      <c r="C295" s="62">
        <f>H295+I295+J295</f>
        <v>0</v>
      </c>
      <c r="D295" s="450">
        <f t="shared" ref="D295:D311" si="32">IFERROR(C295/$C$332,"0,00%")</f>
        <v>0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90" t="s">
        <v>203</v>
      </c>
      <c r="C296" s="62">
        <f t="shared" ref="C296:C305" si="33">H296+I296+J296</f>
        <v>0</v>
      </c>
      <c r="D296" s="450">
        <f t="shared" si="32"/>
        <v>0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90" t="s">
        <v>204</v>
      </c>
      <c r="C297" s="62">
        <f t="shared" si="33"/>
        <v>0</v>
      </c>
      <c r="D297" s="450">
        <f t="shared" si="32"/>
        <v>0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90" t="s">
        <v>205</v>
      </c>
      <c r="C298" s="62">
        <f t="shared" si="33"/>
        <v>0</v>
      </c>
      <c r="D298" s="450">
        <f t="shared" si="32"/>
        <v>0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25">
      <c r="B299" s="490" t="s">
        <v>206</v>
      </c>
      <c r="C299" s="62">
        <f t="shared" si="33"/>
        <v>664.71</v>
      </c>
      <c r="D299" s="450">
        <f t="shared" si="32"/>
        <v>8.8517658607721421E-4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H299" s="246">
        <v>664.71</v>
      </c>
      <c r="I299" s="246"/>
      <c r="J299" s="246"/>
    </row>
    <row r="300" spans="2:10" x14ac:dyDescent="0.25">
      <c r="B300" s="490" t="s">
        <v>207</v>
      </c>
      <c r="C300" s="62">
        <f t="shared" si="33"/>
        <v>958.51</v>
      </c>
      <c r="D300" s="450">
        <f t="shared" si="32"/>
        <v>1.2764222134778634E-3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H300" s="246">
        <v>958.51</v>
      </c>
      <c r="I300" s="246"/>
      <c r="J300" s="246"/>
    </row>
    <row r="301" spans="2:10" x14ac:dyDescent="0.25">
      <c r="B301" s="490" t="s">
        <v>208</v>
      </c>
      <c r="C301" s="62">
        <f t="shared" si="33"/>
        <v>0</v>
      </c>
      <c r="D301" s="450">
        <f t="shared" si="32"/>
        <v>0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90" t="s">
        <v>209</v>
      </c>
      <c r="C302" s="62">
        <f t="shared" si="33"/>
        <v>0</v>
      </c>
      <c r="D302" s="450">
        <f t="shared" si="32"/>
        <v>0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90" t="s">
        <v>210</v>
      </c>
      <c r="C303" s="62">
        <f t="shared" si="33"/>
        <v>951</v>
      </c>
      <c r="D303" s="450">
        <f t="shared" si="32"/>
        <v>1.2664213466916862E-3</v>
      </c>
      <c r="E303" s="329" t="e">
        <f>#REF!</f>
        <v>#REF!</v>
      </c>
      <c r="F303"/>
      <c r="H303" s="246">
        <v>951</v>
      </c>
      <c r="I303" s="246"/>
      <c r="J303" s="246"/>
    </row>
    <row r="304" spans="2:10" x14ac:dyDescent="0.25">
      <c r="B304" s="490" t="s">
        <v>211</v>
      </c>
      <c r="C304" s="62">
        <f t="shared" si="33"/>
        <v>0</v>
      </c>
      <c r="D304" s="450">
        <f t="shared" si="32"/>
        <v>0</v>
      </c>
      <c r="E304" s="329" t="e">
        <f>#REF!</f>
        <v>#REF!</v>
      </c>
      <c r="F304"/>
      <c r="I304" s="246"/>
      <c r="J304" s="246"/>
    </row>
    <row r="305" spans="2:10" x14ac:dyDescent="0.25">
      <c r="B305" s="490" t="s">
        <v>212</v>
      </c>
      <c r="C305" s="62">
        <f t="shared" si="33"/>
        <v>10000</v>
      </c>
      <c r="D305" s="450">
        <f t="shared" si="32"/>
        <v>1.3316733403698067E-2</v>
      </c>
      <c r="E305" s="329" t="e">
        <f>#REF!</f>
        <v>#REF!</v>
      </c>
      <c r="F305"/>
      <c r="H305" s="246">
        <v>10000</v>
      </c>
      <c r="I305" s="246"/>
      <c r="J305" s="246"/>
    </row>
    <row r="306" spans="2:10" hidden="1" x14ac:dyDescent="0.25">
      <c r="B306" s="490"/>
      <c r="C306" s="80"/>
      <c r="D306" s="450">
        <f t="shared" si="32"/>
        <v>0</v>
      </c>
      <c r="E306" s="329" t="e">
        <f>#REF!</f>
        <v>#REF!</v>
      </c>
      <c r="F306"/>
      <c r="I306" s="246"/>
      <c r="J306" s="246"/>
    </row>
    <row r="307" spans="2:10" hidden="1" x14ac:dyDescent="0.25">
      <c r="B307" s="490"/>
      <c r="C307" s="80"/>
      <c r="D307" s="450">
        <f t="shared" si="32"/>
        <v>0</v>
      </c>
      <c r="E307" s="329" t="e">
        <f>#REF!</f>
        <v>#REF!</v>
      </c>
      <c r="F307"/>
      <c r="I307" s="246"/>
      <c r="J307" s="246"/>
    </row>
    <row r="308" spans="2:10" hidden="1" x14ac:dyDescent="0.25">
      <c r="B308" s="490"/>
      <c r="C308" s="80"/>
      <c r="D308" s="450">
        <f t="shared" si="32"/>
        <v>0</v>
      </c>
      <c r="E308" s="329" t="e">
        <f>#REF!</f>
        <v>#REF!</v>
      </c>
      <c r="F308"/>
      <c r="I308" s="246"/>
      <c r="J308" s="246"/>
    </row>
    <row r="309" spans="2:10" hidden="1" x14ac:dyDescent="0.25">
      <c r="B309" s="490"/>
      <c r="C309" s="80"/>
      <c r="D309" s="450">
        <f t="shared" si="32"/>
        <v>0</v>
      </c>
      <c r="E309" s="329" t="e">
        <f>#REF!</f>
        <v>#REF!</v>
      </c>
      <c r="F309"/>
      <c r="I309" s="246"/>
      <c r="J309" s="246"/>
    </row>
    <row r="310" spans="2:10" hidden="1" x14ac:dyDescent="0.25">
      <c r="B310" s="490"/>
      <c r="C310" s="80"/>
      <c r="D310" s="450">
        <f t="shared" si="32"/>
        <v>0</v>
      </c>
      <c r="E310" s="329" t="e">
        <f>#REF!</f>
        <v>#REF!</v>
      </c>
      <c r="F310"/>
      <c r="I310" s="246"/>
      <c r="J310" s="246"/>
    </row>
    <row r="311" spans="2:10" hidden="1" x14ac:dyDescent="0.25">
      <c r="B311" s="490"/>
      <c r="C311" s="80"/>
      <c r="D311" s="450">
        <f t="shared" si="32"/>
        <v>0</v>
      </c>
      <c r="E311" s="329" t="e">
        <f>#REF!</f>
        <v>#REF!</v>
      </c>
      <c r="F311"/>
      <c r="I311" s="246"/>
      <c r="J311" s="246"/>
    </row>
    <row r="312" spans="2:10" hidden="1" x14ac:dyDescent="0.25">
      <c r="B312" s="490"/>
      <c r="C312" s="80"/>
      <c r="D312" s="450">
        <f>IFERROR(C312/$C$332,"0,00%")</f>
        <v>0</v>
      </c>
      <c r="E312" s="329" t="e">
        <f>#REF!</f>
        <v>#REF!</v>
      </c>
      <c r="F312"/>
      <c r="I312" s="246"/>
      <c r="J312" s="246"/>
    </row>
    <row r="313" spans="2:10" hidden="1" x14ac:dyDescent="0.25">
      <c r="B313" s="490"/>
      <c r="C313" s="80"/>
      <c r="D313" s="450">
        <f>IFERROR(C313/$C$332,"0,00%")</f>
        <v>0</v>
      </c>
      <c r="E313" s="329" t="e">
        <f>#REF!</f>
        <v>#REF!</v>
      </c>
      <c r="F313"/>
      <c r="I313" s="246"/>
      <c r="J313" s="246"/>
    </row>
    <row r="314" spans="2:10" hidden="1" x14ac:dyDescent="0.25">
      <c r="B314" s="490"/>
      <c r="C314" s="80"/>
      <c r="D314" s="450">
        <f>IFERROR(C314/$C$332,"0,00%")</f>
        <v>0</v>
      </c>
      <c r="E314" s="329" t="e">
        <f>#REF!</f>
        <v>#REF!</v>
      </c>
      <c r="F314"/>
      <c r="I314" s="246"/>
      <c r="J314" s="246"/>
    </row>
    <row r="315" spans="2:10" ht="18.75" x14ac:dyDescent="0.3">
      <c r="B315" s="491" t="s">
        <v>213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90" t="s">
        <v>265</v>
      </c>
      <c r="C316" s="62">
        <f>H316+I316+J316</f>
        <v>0</v>
      </c>
      <c r="D316" s="450">
        <f t="shared" ref="D316:D321" si="34">IFERROR(C316/$C$332,"0,00%")</f>
        <v>0</v>
      </c>
      <c r="E316" s="329" t="e">
        <f>#REF!</f>
        <v>#REF!</v>
      </c>
      <c r="F316"/>
      <c r="I316" s="246"/>
      <c r="J316" s="246"/>
    </row>
    <row r="317" spans="2:10" x14ac:dyDescent="0.25">
      <c r="B317" s="490" t="s">
        <v>266</v>
      </c>
      <c r="C317" s="62">
        <f t="shared" ref="C317:C320" si="35">H317+I317+J317</f>
        <v>0</v>
      </c>
      <c r="D317" s="450">
        <f t="shared" si="34"/>
        <v>0</v>
      </c>
      <c r="E317" s="329" t="e">
        <f>#REF!</f>
        <v>#REF!</v>
      </c>
      <c r="F317"/>
      <c r="I317" s="246"/>
      <c r="J317" s="246"/>
    </row>
    <row r="318" spans="2:10" x14ac:dyDescent="0.25">
      <c r="B318" s="490" t="s">
        <v>267</v>
      </c>
      <c r="C318" s="62">
        <f t="shared" si="35"/>
        <v>0</v>
      </c>
      <c r="D318" s="450">
        <f t="shared" si="34"/>
        <v>0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90" t="s">
        <v>268</v>
      </c>
      <c r="C319" s="62">
        <f t="shared" si="35"/>
        <v>0</v>
      </c>
      <c r="D319" s="450">
        <f t="shared" si="34"/>
        <v>0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90" t="s">
        <v>269</v>
      </c>
      <c r="C320" s="62">
        <f t="shared" si="35"/>
        <v>0</v>
      </c>
      <c r="D320" s="450">
        <f t="shared" si="34"/>
        <v>0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90"/>
      <c r="C321" s="80"/>
      <c r="D321" s="450">
        <f t="shared" si="34"/>
        <v>0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91" t="s">
        <v>214</v>
      </c>
      <c r="C322" s="346">
        <f>-SUBTOTAL(109,C323:C329)</f>
        <v>-1415.37</v>
      </c>
      <c r="D322" s="436">
        <f>-IFERROR(C322/$C$332,"0,00")</f>
        <v>1.884810495759213E-3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-1415.37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90" t="s">
        <v>216</v>
      </c>
      <c r="C323" s="62">
        <f>H323+I323+J323</f>
        <v>0</v>
      </c>
      <c r="D323" s="450">
        <f t="shared" ref="D323:D329" si="36">IFERROR(C323/$C$332,"0,00%")</f>
        <v>0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90" t="s">
        <v>215</v>
      </c>
      <c r="C324" s="62">
        <f>H324+I324</f>
        <v>0</v>
      </c>
      <c r="D324" s="450">
        <f t="shared" si="36"/>
        <v>0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90" t="s">
        <v>217</v>
      </c>
      <c r="C325" s="62">
        <f>H325+I325</f>
        <v>0</v>
      </c>
      <c r="D325" s="450">
        <f t="shared" si="36"/>
        <v>0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25">
      <c r="B326" s="490" t="s">
        <v>218</v>
      </c>
      <c r="C326" s="62">
        <f>H326+I326</f>
        <v>1415.37</v>
      </c>
      <c r="D326" s="450">
        <f t="shared" si="36"/>
        <v>1.884810495759213E-3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H326" s="246">
        <v>1415.37</v>
      </c>
      <c r="I326" s="246"/>
      <c r="J326" s="246"/>
    </row>
    <row r="327" spans="2:209" ht="15" hidden="1" customHeight="1" x14ac:dyDescent="0.25">
      <c r="B327" s="490"/>
      <c r="C327" s="80"/>
      <c r="D327" s="450">
        <f t="shared" si="36"/>
        <v>0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90"/>
      <c r="C328" s="80"/>
      <c r="D328" s="450">
        <f t="shared" si="36"/>
        <v>0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90"/>
      <c r="C329" s="80"/>
      <c r="D329" s="450">
        <f t="shared" si="36"/>
        <v>0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92" t="s">
        <v>19</v>
      </c>
      <c r="C330" s="351">
        <f>-SUBTOTAL(109,C273:C329)</f>
        <v>-32240.519999999997</v>
      </c>
      <c r="D330" s="452">
        <f>IFERROR(C330/(C27+C238),"0,00%")</f>
        <v>-4.2933840963659556E-2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-32240.519999999997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">
        <v>1</v>
      </c>
      <c r="C331" s="352">
        <f>C2</f>
        <v>67410.42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93" t="s">
        <v>14</v>
      </c>
      <c r="C332" s="353">
        <f>SUM(C238,C27)</f>
        <v>750934.90999999992</v>
      </c>
      <c r="D332" s="456">
        <f>SUM(D27,D238)</f>
        <v>1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7" customHeight="1" thickBot="1" x14ac:dyDescent="0.35">
      <c r="B333" s="494" t="s">
        <v>13</v>
      </c>
      <c r="C333" s="354">
        <f>SUM(C85,C236,C330)</f>
        <v>-786347.69</v>
      </c>
      <c r="D333" s="458">
        <f>IFERROR(C333/C332,"0,00%")</f>
        <v>-1.0471582550343812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-737260.14</v>
      </c>
      <c r="I333" s="571">
        <f>SUM(I85,I236,I330)</f>
        <v>-34629.409999999996</v>
      </c>
      <c r="J333" s="571">
        <f>SUM(J85,J236,J330)</f>
        <v>-14458.14</v>
      </c>
      <c r="K333" s="8"/>
      <c r="L333" s="8"/>
      <c r="M333" s="8"/>
    </row>
    <row r="334" spans="2:209" ht="21.75" thickBot="1" x14ac:dyDescent="0.3">
      <c r="B334" s="495" t="s">
        <v>17</v>
      </c>
      <c r="C334" s="355">
        <f>SUM(C332,C333)</f>
        <v>-35412.780000000028</v>
      </c>
      <c r="D334" s="460">
        <f>IFERROR(C334/C332,"0,00%")</f>
        <v>-4.7158255034381119E-2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42579.360000000008</v>
      </c>
      <c r="I334" s="570">
        <f>I28+I238</f>
        <v>241526.41</v>
      </c>
      <c r="J334" s="570">
        <f>J28+J238</f>
        <v>466829.14</v>
      </c>
      <c r="K334" s="1"/>
      <c r="L334" s="1"/>
      <c r="M334" s="1"/>
    </row>
    <row r="335" spans="2:209" ht="27" thickBot="1" x14ac:dyDescent="0.45">
      <c r="B335" s="461" t="s">
        <v>16</v>
      </c>
      <c r="C335" s="356">
        <f>SUM(C332,C331,C333)</f>
        <v>31997.640000000014</v>
      </c>
      <c r="D335" s="462">
        <f>IFERROR(C335/(C332+C331),"0,00%")</f>
        <v>3.910041253611115E-2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284105.77</v>
      </c>
      <c r="I335" s="246"/>
    </row>
    <row r="336" spans="2:209" ht="23.25" x14ac:dyDescent="0.35">
      <c r="B336" s="411" t="s">
        <v>51</v>
      </c>
      <c r="C336" s="339">
        <f>SUBTOTAL(109,C337:C360)</f>
        <v>31847.63</v>
      </c>
      <c r="D336" s="412">
        <f>SUM(D337:D360)</f>
        <v>1</v>
      </c>
      <c r="E336" s="336">
        <v>1</v>
      </c>
      <c r="F336" s="34"/>
      <c r="I336" s="246"/>
    </row>
    <row r="337" spans="2:9" x14ac:dyDescent="0.25">
      <c r="B337" s="413" t="str">
        <f t="shared" ref="B337:B360" si="37">B3</f>
        <v>1.0 - TESOURARIA MATRIZ PALMAS</v>
      </c>
      <c r="C337" s="62">
        <v>40.53</v>
      </c>
      <c r="D337" s="414">
        <f>IFERROR(C337/$C$336,"0,00%")</f>
        <v>1.2726221700013469E-3</v>
      </c>
      <c r="E337" s="337">
        <v>0.29736693118255098</v>
      </c>
      <c r="F337" s="34"/>
      <c r="G337">
        <v>1</v>
      </c>
      <c r="H337" s="246">
        <f>C3</f>
        <v>148.53</v>
      </c>
      <c r="I337" s="246"/>
    </row>
    <row r="338" spans="2:9" x14ac:dyDescent="0.25">
      <c r="B338" s="413" t="str">
        <f t="shared" si="37"/>
        <v>1.1 - BANCO DO BRASIL C.C.60409-7 MATRIZ</v>
      </c>
      <c r="C338" s="62">
        <v>108.85</v>
      </c>
      <c r="D338" s="414">
        <f t="shared" ref="D338:D360" si="38">IFERROR(C338/$C$336,"0,00%")</f>
        <v>3.4178367432678661E-3</v>
      </c>
      <c r="E338" s="337">
        <v>0.33251761890884102</v>
      </c>
      <c r="F338" s="34"/>
      <c r="G338">
        <v>2</v>
      </c>
      <c r="H338" s="246">
        <f t="shared" ref="H338:H360" si="39">C4</f>
        <v>15268.12</v>
      </c>
      <c r="I338" s="246"/>
    </row>
    <row r="339" spans="2:9" hidden="1" x14ac:dyDescent="0.25">
      <c r="B339" s="413">
        <f t="shared" si="37"/>
        <v>0</v>
      </c>
      <c r="C339" s="62"/>
      <c r="D339" s="414">
        <f t="shared" si="38"/>
        <v>0</v>
      </c>
      <c r="E339" s="337">
        <v>0.31943681701513732</v>
      </c>
      <c r="F339" s="34"/>
      <c r="G339">
        <v>3</v>
      </c>
      <c r="H339" s="246">
        <f t="shared" si="39"/>
        <v>0</v>
      </c>
      <c r="I339" s="246"/>
    </row>
    <row r="340" spans="2:9" x14ac:dyDescent="0.25">
      <c r="B340" s="413" t="str">
        <f t="shared" si="37"/>
        <v>1.2-BRADESCO 15232-3 MATRIZ</v>
      </c>
      <c r="C340" s="62">
        <v>3332.91</v>
      </c>
      <c r="D340" s="414">
        <f t="shared" si="38"/>
        <v>0.10465174331653564</v>
      </c>
      <c r="E340" s="337">
        <v>0</v>
      </c>
      <c r="F340" s="34"/>
      <c r="G340">
        <v>4</v>
      </c>
      <c r="H340" s="246">
        <f t="shared" si="39"/>
        <v>8.6199999999999992</v>
      </c>
      <c r="I340" s="246"/>
    </row>
    <row r="341" spans="2:9" hidden="1" x14ac:dyDescent="0.25">
      <c r="B341" s="413">
        <f t="shared" si="37"/>
        <v>0</v>
      </c>
      <c r="C341" s="62"/>
      <c r="D341" s="414">
        <f t="shared" si="38"/>
        <v>0</v>
      </c>
      <c r="E341" s="337">
        <v>1.4395773294013838E-2</v>
      </c>
      <c r="F341" s="34"/>
      <c r="G341">
        <v>5</v>
      </c>
      <c r="H341" s="246">
        <f t="shared" si="39"/>
        <v>0</v>
      </c>
      <c r="I341" s="246"/>
    </row>
    <row r="342" spans="2:9" x14ac:dyDescent="0.25">
      <c r="B342" s="413" t="str">
        <f t="shared" si="37"/>
        <v>1.3 - BANCO STONE MATRIZ C.C 40256726-7</v>
      </c>
      <c r="C342" s="62">
        <v>2671</v>
      </c>
      <c r="D342" s="414">
        <f t="shared" si="38"/>
        <v>8.386809316737226E-2</v>
      </c>
      <c r="E342" s="337">
        <v>1.1641126229335877E-2</v>
      </c>
      <c r="F342" s="34"/>
      <c r="G342">
        <v>6</v>
      </c>
      <c r="H342" s="246">
        <f t="shared" si="39"/>
        <v>0</v>
      </c>
      <c r="I342" s="246"/>
    </row>
    <row r="343" spans="2:9" x14ac:dyDescent="0.25">
      <c r="B343" s="413" t="str">
        <f t="shared" si="37"/>
        <v>1.4 - BANCO DA AMAZONIA 071730-7 MATRIZ</v>
      </c>
      <c r="C343" s="62">
        <v>281.77999999999997</v>
      </c>
      <c r="D343" s="414">
        <f t="shared" si="38"/>
        <v>8.8477541342950779E-3</v>
      </c>
      <c r="E343" s="337">
        <v>2.4641733370120961E-2</v>
      </c>
      <c r="F343" s="34"/>
      <c r="G343">
        <v>7</v>
      </c>
      <c r="H343" s="246">
        <f t="shared" si="39"/>
        <v>124.56</v>
      </c>
      <c r="I343" s="246"/>
    </row>
    <row r="344" spans="2:9" x14ac:dyDescent="0.25">
      <c r="B344" s="413" t="str">
        <f t="shared" si="37"/>
        <v>1.4.1.INVESTIMENTO CDBORE RCP TXFL</v>
      </c>
      <c r="C344" s="62"/>
      <c r="D344" s="414">
        <f t="shared" si="38"/>
        <v>0</v>
      </c>
      <c r="E344" s="337">
        <v>0</v>
      </c>
      <c r="F344" s="34"/>
      <c r="G344">
        <v>8</v>
      </c>
      <c r="H344" s="246">
        <f t="shared" si="39"/>
        <v>0</v>
      </c>
      <c r="I344" s="246"/>
    </row>
    <row r="345" spans="2:9" x14ac:dyDescent="0.25">
      <c r="B345" s="413" t="str">
        <f t="shared" si="37"/>
        <v>1.5 -  ITAU C.C.98671-6 MATRIZ</v>
      </c>
      <c r="C345" s="62">
        <v>18153.73</v>
      </c>
      <c r="D345" s="414">
        <f t="shared" si="38"/>
        <v>0.57001823997578471</v>
      </c>
      <c r="E345" s="337">
        <v>0</v>
      </c>
      <c r="F345" s="34"/>
      <c r="G345">
        <v>9</v>
      </c>
      <c r="H345" s="246">
        <f t="shared" si="39"/>
        <v>40443.69</v>
      </c>
      <c r="I345" s="246"/>
    </row>
    <row r="346" spans="2:9" x14ac:dyDescent="0.25">
      <c r="B346" s="413" t="str">
        <f t="shared" si="37"/>
        <v>1.5.03. ITAU C.C 83290-2 GARANTIDA</v>
      </c>
      <c r="C346" s="62">
        <v>1286.28</v>
      </c>
      <c r="D346" s="414">
        <f t="shared" si="38"/>
        <v>4.0388562665416544E-2</v>
      </c>
      <c r="E346" s="337">
        <v>0</v>
      </c>
      <c r="F346" s="34"/>
      <c r="G346">
        <v>10</v>
      </c>
      <c r="H346" s="246">
        <f t="shared" si="39"/>
        <v>902.73</v>
      </c>
      <c r="I346" s="246"/>
    </row>
    <row r="347" spans="2:9" x14ac:dyDescent="0.25">
      <c r="B347" s="413" t="str">
        <f t="shared" si="37"/>
        <v>1.9 - CONTA PERDA/ROUBO/BONIFICAÇÃO E DOAÇÃO</v>
      </c>
      <c r="C347" s="62">
        <v>0</v>
      </c>
      <c r="D347" s="414">
        <f t="shared" si="38"/>
        <v>0</v>
      </c>
      <c r="E347" s="617" t="e">
        <f>#REF!</f>
        <v>#REF!</v>
      </c>
      <c r="F347" s="34"/>
      <c r="G347">
        <v>11</v>
      </c>
      <c r="H347" s="246">
        <f t="shared" si="39"/>
        <v>0</v>
      </c>
      <c r="I347" s="246"/>
    </row>
    <row r="348" spans="2:9" hidden="1" x14ac:dyDescent="0.25">
      <c r="B348" s="413">
        <f>B14</f>
        <v>0</v>
      </c>
      <c r="C348" s="62"/>
      <c r="D348" s="414">
        <f t="shared" si="38"/>
        <v>0</v>
      </c>
      <c r="E348" s="617" t="e">
        <f>#REF!</f>
        <v>#REF!</v>
      </c>
      <c r="F348" s="34"/>
      <c r="G348">
        <v>12</v>
      </c>
      <c r="H348" s="246">
        <f t="shared" si="39"/>
        <v>0</v>
      </c>
      <c r="I348" s="246"/>
    </row>
    <row r="349" spans="2:9" x14ac:dyDescent="0.25">
      <c r="B349" s="413" t="str">
        <f t="shared" si="37"/>
        <v>2.1 - BANCO DO BRASIL C.C.60638-3 FILIAL PALMAS</v>
      </c>
      <c r="C349" s="62">
        <v>1829.48</v>
      </c>
      <c r="D349" s="414">
        <f t="shared" si="38"/>
        <v>5.744477689548641E-2</v>
      </c>
      <c r="E349" s="617" t="e">
        <f>#REF!</f>
        <v>#REF!</v>
      </c>
      <c r="F349" s="34"/>
      <c r="G349">
        <v>13</v>
      </c>
      <c r="H349" s="246">
        <f t="shared" si="39"/>
        <v>1415.61</v>
      </c>
      <c r="I349" s="246"/>
    </row>
    <row r="350" spans="2:9" hidden="1" x14ac:dyDescent="0.25">
      <c r="B350" s="413">
        <f t="shared" si="37"/>
        <v>0</v>
      </c>
      <c r="C350" s="62"/>
      <c r="D350" s="414">
        <f t="shared" si="38"/>
        <v>0</v>
      </c>
      <c r="E350" s="617" t="e">
        <f>#REF!</f>
        <v>#REF!</v>
      </c>
      <c r="F350" s="34"/>
      <c r="G350">
        <v>14</v>
      </c>
      <c r="H350" s="246">
        <f t="shared" si="39"/>
        <v>0</v>
      </c>
      <c r="I350" s="246"/>
    </row>
    <row r="351" spans="2:9" hidden="1" x14ac:dyDescent="0.25">
      <c r="B351" s="413">
        <f t="shared" si="37"/>
        <v>0</v>
      </c>
      <c r="C351" s="62"/>
      <c r="D351" s="414">
        <f t="shared" si="38"/>
        <v>0</v>
      </c>
      <c r="E351" s="617" t="e">
        <f>#REF!</f>
        <v>#REF!</v>
      </c>
      <c r="F351" s="34"/>
      <c r="G351">
        <v>15</v>
      </c>
      <c r="H351" s="246">
        <f t="shared" si="39"/>
        <v>0</v>
      </c>
      <c r="I351" s="246"/>
    </row>
    <row r="352" spans="2:9" x14ac:dyDescent="0.25">
      <c r="B352" s="413" t="str">
        <f t="shared" si="37"/>
        <v>2.4 - ITAU C.C.98669-0 FILIAL PALMAS</v>
      </c>
      <c r="C352" s="62">
        <v>536.72</v>
      </c>
      <c r="D352" s="414">
        <f t="shared" si="38"/>
        <v>1.6852745400521171E-2</v>
      </c>
      <c r="E352" s="337">
        <v>4.031448971430979E-3</v>
      </c>
      <c r="G352">
        <v>16</v>
      </c>
      <c r="H352" s="246">
        <f t="shared" si="39"/>
        <v>536.72</v>
      </c>
      <c r="I352" s="246"/>
    </row>
    <row r="353" spans="2:9" x14ac:dyDescent="0.25">
      <c r="B353" s="413" t="str">
        <f t="shared" si="37"/>
        <v>2.9 - CONTA PERDA/ROUBO E BONIFICAÇÃO FILIAL</v>
      </c>
      <c r="C353" s="62">
        <v>-219.15</v>
      </c>
      <c r="D353" s="414">
        <f t="shared" si="38"/>
        <v>-6.881202777098327E-3</v>
      </c>
      <c r="E353" s="337" t="e">
        <f>#REF!</f>
        <v>#REF!</v>
      </c>
      <c r="G353">
        <v>17</v>
      </c>
      <c r="H353" s="246">
        <f t="shared" si="39"/>
        <v>0</v>
      </c>
      <c r="I353" s="246"/>
    </row>
    <row r="354" spans="2:9" x14ac:dyDescent="0.25">
      <c r="B354" s="413" t="str">
        <f t="shared" si="37"/>
        <v>4.0 - TESOURARIA FILIAL PORTO</v>
      </c>
      <c r="C354" s="62">
        <v>385.51</v>
      </c>
      <c r="D354" s="414">
        <f t="shared" si="38"/>
        <v>1.2104825382610887E-2</v>
      </c>
      <c r="E354" s="337" t="e">
        <f>#REF!</f>
        <v>#REF!</v>
      </c>
      <c r="G354">
        <v>18</v>
      </c>
      <c r="H354" s="246">
        <f t="shared" si="39"/>
        <v>1409.97</v>
      </c>
      <c r="I354" s="246"/>
    </row>
    <row r="355" spans="2:9" x14ac:dyDescent="0.25">
      <c r="B355" s="413" t="str">
        <f t="shared" si="37"/>
        <v>4.1 -  BANCO DO BRASIL C.C.61105-0 FILIAL PORTO</v>
      </c>
      <c r="C355" s="62">
        <v>16.829999999999998</v>
      </c>
      <c r="D355" s="414">
        <f t="shared" si="38"/>
        <v>5.2845376563342387E-4</v>
      </c>
      <c r="E355" s="617" t="e">
        <f>#REF!</f>
        <v>#REF!</v>
      </c>
      <c r="G355">
        <v>19</v>
      </c>
      <c r="H355" s="246">
        <f t="shared" si="39"/>
        <v>57.34</v>
      </c>
      <c r="I355" s="246"/>
    </row>
    <row r="356" spans="2:9" hidden="1" x14ac:dyDescent="0.25">
      <c r="B356" s="413">
        <f t="shared" si="37"/>
        <v>0</v>
      </c>
      <c r="C356" s="62"/>
      <c r="D356" s="414">
        <f t="shared" si="38"/>
        <v>0</v>
      </c>
      <c r="E356" s="617" t="e">
        <f>#REF!</f>
        <v>#REF!</v>
      </c>
      <c r="G356">
        <v>20</v>
      </c>
      <c r="H356" s="246">
        <f t="shared" si="39"/>
        <v>0</v>
      </c>
      <c r="I356" s="246"/>
    </row>
    <row r="357" spans="2:9" x14ac:dyDescent="0.25">
      <c r="B357" s="413" t="str">
        <f t="shared" si="37"/>
        <v>4.4 - MERCADO PAGO PIX FILIAL PORTO</v>
      </c>
      <c r="C357" s="62">
        <v>2060.42</v>
      </c>
      <c r="D357" s="414">
        <f t="shared" si="38"/>
        <v>6.469617990412474E-2</v>
      </c>
      <c r="E357" s="617" t="e">
        <f>#REF!</f>
        <v>#REF!</v>
      </c>
      <c r="G357">
        <v>21</v>
      </c>
      <c r="H357" s="246">
        <f t="shared" si="39"/>
        <v>5412.19</v>
      </c>
      <c r="I357" s="246"/>
    </row>
    <row r="358" spans="2:9" x14ac:dyDescent="0.25">
      <c r="B358" s="413" t="str">
        <f t="shared" si="37"/>
        <v>4.9 - CONTA PERDA/ROUBO E BONIFICAÇÃO FILIAL</v>
      </c>
      <c r="C358" s="62">
        <v>0</v>
      </c>
      <c r="D358" s="414">
        <f t="shared" si="38"/>
        <v>0</v>
      </c>
      <c r="E358" s="337" t="e">
        <f>#REF!</f>
        <v>#REF!</v>
      </c>
      <c r="G358">
        <v>22</v>
      </c>
      <c r="H358" s="246">
        <f t="shared" si="39"/>
        <v>0</v>
      </c>
      <c r="I358" s="246"/>
    </row>
    <row r="359" spans="2:9" x14ac:dyDescent="0.25">
      <c r="B359" s="413" t="str">
        <f t="shared" si="37"/>
        <v>91.CARTÃO ENDERED 5099+4596+6933+8072 - ESCRITORIO</v>
      </c>
      <c r="C359" s="62">
        <f>404.24+473.52+343.53+141.45</f>
        <v>1362.74</v>
      </c>
      <c r="D359" s="414">
        <f t="shared" si="38"/>
        <v>4.2789369256048253E-2</v>
      </c>
      <c r="E359" s="617" t="e">
        <f>#REF!</f>
        <v>#REF!</v>
      </c>
      <c r="G359">
        <v>23</v>
      </c>
      <c r="H359" s="246">
        <f>C25</f>
        <v>1682.34</v>
      </c>
      <c r="I359" s="246"/>
    </row>
    <row r="360" spans="2:9" hidden="1" x14ac:dyDescent="0.25">
      <c r="B360" s="413">
        <f t="shared" si="37"/>
        <v>0</v>
      </c>
      <c r="C360" s="62"/>
      <c r="D360" s="414">
        <f t="shared" si="38"/>
        <v>0</v>
      </c>
      <c r="E360" s="627" t="e">
        <f>#REF!</f>
        <v>#REF!</v>
      </c>
      <c r="G360">
        <v>24</v>
      </c>
      <c r="H360" s="246">
        <f t="shared" si="39"/>
        <v>0</v>
      </c>
      <c r="I360" s="246"/>
    </row>
    <row r="361" spans="2:9" ht="24" thickBot="1" x14ac:dyDescent="0.4">
      <c r="B361" s="463"/>
      <c r="C361" s="464">
        <f>SUM(C337:C360)-C335</f>
        <v>-150.01000000001295</v>
      </c>
      <c r="D361" s="465">
        <f>IFERROR(C361/C336,"0,00%")</f>
        <v>-4.7102406050312986E-3</v>
      </c>
      <c r="E361" s="338" t="e">
        <f>#REF!</f>
        <v>#REF!</v>
      </c>
      <c r="I361" s="246"/>
    </row>
    <row r="362" spans="2:9" x14ac:dyDescent="0.25"/>
    <row r="363" spans="2:9" x14ac:dyDescent="0.25"/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</sheetData>
  <protectedRanges>
    <protectedRange sqref="C14:C26" name="Bancos"/>
    <protectedRange sqref="C13" name="Intervalo1"/>
    <protectedRange sqref="C9:C12" name="Saldo Final de Banco_2"/>
    <protectedRange sqref="C3:C8" name="Saldo Final de Banco_1_2"/>
    <protectedRange sqref="C343:C360" name="Saldo Final de Banco_3"/>
    <protectedRange sqref="C337:C342" name="Saldo Final de Banco_1_1"/>
  </protectedRanges>
  <customSheetViews>
    <customSheetView guid="{26DA5B32-7566-4E5C-94BD-406C7E00331A}" scale="90" hiddenRows="1" hiddenColumns="1">
      <pane xSplit="1" ySplit="1" topLeftCell="B2" activePane="bottomRight" state="frozen"/>
      <selection pane="bottomRight" activeCell="B4" sqref="B4"/>
      <pageMargins left="0.19685039370078741" right="0.23622047244094491" top="0.35433070866141736" bottom="0.78740157480314965" header="0.31496062992125984" footer="0.31496062992125984"/>
      <pageSetup paperSize="9" orientation="portrait" r:id="rId1"/>
    </customSheetView>
  </customSheetViews>
  <phoneticPr fontId="23" type="noConversion"/>
  <conditionalFormatting sqref="C86">
    <cfRule type="cellIs" dxfId="791" priority="1" operator="lessThan">
      <formula>0</formula>
    </cfRule>
  </conditionalFormatting>
  <conditionalFormatting sqref="C237">
    <cfRule type="cellIs" dxfId="790" priority="2" operator="greaterThan">
      <formula>0</formula>
    </cfRule>
    <cfRule type="cellIs" dxfId="789" priority="3" operator="lessThan">
      <formula>0</formula>
    </cfRule>
    <cfRule type="cellIs" dxfId="788" priority="4" operator="greaterThan">
      <formula>0</formula>
    </cfRule>
  </conditionalFormatting>
  <conditionalFormatting sqref="C334">
    <cfRule type="cellIs" dxfId="787" priority="5" operator="lessThan">
      <formula>0</formula>
    </cfRule>
    <cfRule type="cellIs" dxfId="786" priority="6" operator="greaterThan">
      <formula>0</formula>
    </cfRule>
  </conditionalFormatting>
  <conditionalFormatting sqref="C335">
    <cfRule type="cellIs" dxfId="785" priority="7" operator="lessThan">
      <formula>0</formula>
    </cfRule>
    <cfRule type="cellIs" dxfId="784" priority="8" operator="greaterThan">
      <formula>0.001</formula>
    </cfRule>
    <cfRule type="cellIs" dxfId="783" priority="9" operator="lessThan">
      <formula>0</formula>
    </cfRule>
    <cfRule type="cellIs" dxfId="782" priority="10" operator="greaterThan">
      <formula>0</formula>
    </cfRule>
    <cfRule type="aboveAverage" dxfId="781" priority="11" aboveAverage="0"/>
  </conditionalFormatting>
  <conditionalFormatting sqref="D86">
    <cfRule type="cellIs" dxfId="780" priority="29" operator="lessThan">
      <formula>0</formula>
    </cfRule>
  </conditionalFormatting>
  <conditionalFormatting sqref="D237 D334">
    <cfRule type="cellIs" dxfId="779" priority="36" operator="greaterThan">
      <formula>0</formula>
    </cfRule>
  </conditionalFormatting>
  <conditionalFormatting sqref="D237">
    <cfRule type="cellIs" dxfId="778" priority="32" operator="lessThan">
      <formula>0</formula>
    </cfRule>
    <cfRule type="cellIs" dxfId="777" priority="31" operator="greaterThan">
      <formula>0</formula>
    </cfRule>
  </conditionalFormatting>
  <conditionalFormatting sqref="D334">
    <cfRule type="cellIs" dxfId="776" priority="35" operator="lessThan">
      <formula>0</formula>
    </cfRule>
  </conditionalFormatting>
  <conditionalFormatting sqref="D335">
    <cfRule type="cellIs" dxfId="775" priority="34" operator="greaterThan">
      <formula>0</formula>
    </cfRule>
    <cfRule type="cellIs" dxfId="774" priority="33" operator="lessThan">
      <formula>0</formula>
    </cfRule>
    <cfRule type="cellIs" dxfId="773" priority="30" operator="greaterThan">
      <formula>0</formula>
    </cfRule>
    <cfRule type="aboveAverage" dxfId="772" priority="37" aboveAverage="0"/>
  </conditionalFormatting>
  <conditionalFormatting sqref="E86">
    <cfRule type="cellIs" dxfId="771" priority="20" operator="lessThan">
      <formula>0</formula>
    </cfRule>
  </conditionalFormatting>
  <conditionalFormatting sqref="E237 E334">
    <cfRule type="cellIs" dxfId="770" priority="27" operator="greaterThan">
      <formula>0</formula>
    </cfRule>
  </conditionalFormatting>
  <conditionalFormatting sqref="E237">
    <cfRule type="cellIs" dxfId="769" priority="23" operator="lessThan">
      <formula>0</formula>
    </cfRule>
    <cfRule type="cellIs" dxfId="768" priority="22" operator="greaterThan">
      <formula>0</formula>
    </cfRule>
  </conditionalFormatting>
  <conditionalFormatting sqref="E334">
    <cfRule type="cellIs" dxfId="767" priority="26" operator="lessThan">
      <formula>0</formula>
    </cfRule>
  </conditionalFormatting>
  <conditionalFormatting sqref="E335">
    <cfRule type="aboveAverage" dxfId="766" priority="28" aboveAverage="0"/>
    <cfRule type="cellIs" dxfId="765" priority="21" operator="greaterThan">
      <formula>0</formula>
    </cfRule>
    <cfRule type="cellIs" dxfId="764" priority="24" operator="lessThan">
      <formula>0</formula>
    </cfRule>
    <cfRule type="cellIs" dxfId="763" priority="25" operator="greaterThan">
      <formula>0</formula>
    </cfRule>
  </conditionalFormatting>
  <conditionalFormatting sqref="F27">
    <cfRule type="iconSet" priority="611">
      <iconSet>
        <cfvo type="percent" val="0"/>
        <cfvo type="percent" val="33"/>
        <cfvo type="percent" val="67"/>
      </iconSet>
    </cfRule>
    <cfRule type="iconSet" priority="606">
      <iconSet iconSet="3Arrows">
        <cfvo type="percent" val="0"/>
        <cfvo type="percent" val="$F$27&lt;=0"/>
        <cfvo type="percent" val="$F$27&gt;=0"/>
      </iconSet>
    </cfRule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62" priority="608" operator="containsText" text="FALSO">
      <formula>NOT(ISERROR(SEARCH("FALSO",F27)))</formula>
    </cfRule>
    <cfRule type="containsText" dxfId="761" priority="609" operator="containsText" text="VERDADEIRO">
      <formula>NOT(ISERROR(SEARCH("VERDADEIRO",F27)))</formula>
    </cfRule>
    <cfRule type="iconSet" priority="610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760" priority="40" operator="containsText" text="FALSO">
      <formula>NOT(ISERROR(SEARCH("FALSO",F28)))</formula>
    </cfRule>
    <cfRule type="containsText" dxfId="759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758" priority="17" operator="containsText" text="Verd">
      <formula>NOT(ISERROR(SEARCH("Verd",F29)))</formula>
    </cfRule>
    <cfRule type="containsText" dxfId="757" priority="16" operator="containsText" text="Fals">
      <formula>NOT(ISERROR(SEARCH("Fals",F29)))</formula>
    </cfRule>
  </conditionalFormatting>
  <conditionalFormatting sqref="F49:F86">
    <cfRule type="containsText" dxfId="756" priority="15" operator="containsText" text="Verd">
      <formula>NOT(ISERROR(SEARCH("Verd",F49)))</formula>
    </cfRule>
    <cfRule type="containsText" dxfId="755" priority="14" operator="containsText" text="Fals">
      <formula>NOT(ISERROR(SEARCH("Fals",F49)))</formula>
    </cfRule>
  </conditionalFormatting>
  <conditionalFormatting sqref="F88:F271">
    <cfRule type="containsText" dxfId="754" priority="19" operator="containsText" text="Verd">
      <formula>NOT(ISERROR(SEARCH("Verd",F88)))</formula>
    </cfRule>
    <cfRule type="containsText" dxfId="753" priority="18" operator="containsText" text="Fals">
      <formula>NOT(ISERROR(SEARCH("Fals",F88)))</formula>
    </cfRule>
  </conditionalFormatting>
  <conditionalFormatting sqref="F273:F330">
    <cfRule type="containsText" dxfId="752" priority="13" operator="containsText" text="Verd">
      <formula>NOT(ISERROR(SEARCH("Verd",F273)))</formula>
    </cfRule>
    <cfRule type="containsText" dxfId="751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5" fitToHeight="3" orientation="portrait" r:id="rId2"/>
  <rowBreaks count="2" manualBreakCount="2">
    <brk id="86" max="16383" man="1"/>
    <brk id="237" max="16383" man="1"/>
  </rowBreak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322" activePane="bottomRight" state="frozen"/>
      <selection pane="topRight" activeCell="B1" sqref="B1"/>
      <selection pane="bottomLeft" activeCell="A2" sqref="A2"/>
      <selection pane="bottomRight" activeCell="C336" sqref="C336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customWidth="1"/>
    <col min="4" max="4" width="15.7109375" style="258" customWidth="1"/>
    <col min="5" max="5" width="14.85546875" style="253" hidden="1" customWidth="1"/>
    <col min="6" max="6" width="5" style="33" hidden="1" customWidth="1"/>
    <col min="7" max="7" width="14.28515625" bestFit="1" customWidth="1"/>
    <col min="8" max="8" width="21.5703125" style="246" customWidth="1"/>
    <col min="9" max="9" width="21.570312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61</v>
      </c>
      <c r="D1" s="410" t="s">
        <v>305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31847.63</v>
      </c>
      <c r="D2" s="412">
        <f>SUM(D3:D26)</f>
        <v>0.9947613056293354</v>
      </c>
      <c r="E2" s="307"/>
      <c r="F2" s="31"/>
      <c r="H2" s="285"/>
      <c r="I2" s="285"/>
    </row>
    <row r="3" spans="1:10" x14ac:dyDescent="0.25">
      <c r="B3" s="621" t="str">
        <f>Fluxo_de_Caixa_Janeiro[[#This Row],[Fluxo de Caixa 2026 CTR]]</f>
        <v>1.0 - TESOURARIA MATRIZ PALMAS</v>
      </c>
      <c r="C3" s="62">
        <f>JANEIRO!C337</f>
        <v>40.53</v>
      </c>
      <c r="D3" s="414">
        <f>IF(C3=0,"0,00%",C3/$C$2)</f>
        <v>1.2726221700013469E-3</v>
      </c>
      <c r="E3" s="66"/>
      <c r="F3" s="31"/>
      <c r="I3" s="246"/>
    </row>
    <row r="4" spans="1:10" x14ac:dyDescent="0.25">
      <c r="B4" s="621" t="str">
        <f>Fluxo_de_Caixa_Janeiro[[#This Row],[Fluxo de Caixa 2026 CTR]]</f>
        <v>1.1 - BANCO DO BRASIL C.C.60409-7 MATRIZ</v>
      </c>
      <c r="C4" s="62">
        <f>JANEIRO!C338</f>
        <v>108.85</v>
      </c>
      <c r="D4" s="414">
        <f t="shared" ref="D4:D26" si="0">IF(C4=0,"0,00%",C4/$C$2)</f>
        <v>3.4178367432678661E-3</v>
      </c>
      <c r="E4" s="66"/>
      <c r="F4" s="31"/>
      <c r="I4" s="246"/>
    </row>
    <row r="5" spans="1:10" hidden="1" x14ac:dyDescent="0.25">
      <c r="B5" s="621">
        <f>Fluxo_de_Caixa_Janeiro[[#This Row],[Fluxo de Caixa 2026 CTR]]</f>
        <v>0</v>
      </c>
      <c r="C5" s="62">
        <f>JANEIRO!C339</f>
        <v>0</v>
      </c>
      <c r="D5" s="414" t="str">
        <f t="shared" si="0"/>
        <v>0,00%</v>
      </c>
      <c r="E5" s="66"/>
      <c r="F5" s="31"/>
      <c r="I5" s="246"/>
    </row>
    <row r="6" spans="1:10" x14ac:dyDescent="0.25">
      <c r="B6" s="621" t="str">
        <f>Fluxo_de_Caixa_Janeiro[[#This Row],[Fluxo de Caixa 2026 CTR]]</f>
        <v>1.2-BRADESCO 15232-3 MATRIZ</v>
      </c>
      <c r="C6" s="62">
        <f>JANEIRO!C340</f>
        <v>3332.91</v>
      </c>
      <c r="D6" s="414">
        <f t="shared" si="0"/>
        <v>0.10465174331653564</v>
      </c>
      <c r="E6" s="66"/>
      <c r="F6" s="31"/>
      <c r="I6" s="246"/>
    </row>
    <row r="7" spans="1:10" hidden="1" x14ac:dyDescent="0.25">
      <c r="B7" s="621">
        <f>Fluxo_de_Caixa_Janeiro[[#This Row],[Fluxo de Caixa 2026 CTR]]</f>
        <v>0</v>
      </c>
      <c r="C7" s="62">
        <f>JANEIRO!C341</f>
        <v>0</v>
      </c>
      <c r="D7" s="414" t="str">
        <f t="shared" si="0"/>
        <v>0,00%</v>
      </c>
      <c r="E7" s="66"/>
      <c r="F7" s="31"/>
      <c r="I7" s="246"/>
    </row>
    <row r="8" spans="1:10" x14ac:dyDescent="0.25">
      <c r="B8" s="621" t="str">
        <f>Fluxo_de_Caixa_Janeiro[[#This Row],[Fluxo de Caixa 2026 CTR]]</f>
        <v>1.3 - BANCO STONE MATRIZ C.C 40256726-7</v>
      </c>
      <c r="C8" s="62">
        <f>JANEIRO!C342</f>
        <v>2671</v>
      </c>
      <c r="D8" s="414">
        <f t="shared" si="0"/>
        <v>8.386809316737226E-2</v>
      </c>
      <c r="E8" s="617" t="e">
        <f>#REF!</f>
        <v>#REF!</v>
      </c>
      <c r="F8" s="31"/>
      <c r="I8" s="246"/>
    </row>
    <row r="9" spans="1:10" x14ac:dyDescent="0.25">
      <c r="B9" s="621" t="str">
        <f>Fluxo_de_Caixa_Janeiro[[#This Row],[Fluxo de Caixa 2026 CTR]]</f>
        <v>1.4 - BANCO DA AMAZONIA 071730-7 MATRIZ</v>
      </c>
      <c r="C9" s="62">
        <f>JANEIRO!C343</f>
        <v>281.77999999999997</v>
      </c>
      <c r="D9" s="414">
        <f t="shared" si="0"/>
        <v>8.8477541342950779E-3</v>
      </c>
      <c r="E9" s="617" t="e">
        <f>#REF!</f>
        <v>#REF!</v>
      </c>
      <c r="F9" s="31"/>
      <c r="I9" s="246"/>
    </row>
    <row r="10" spans="1:10" x14ac:dyDescent="0.25">
      <c r="B10" s="621" t="str">
        <f>Fluxo_de_Caixa_Janeiro[[#This Row],[Fluxo de Caixa 2026 CTR]]</f>
        <v>1.4.1.INVESTIMENTO CDBORE RCP TXFL</v>
      </c>
      <c r="C10" s="62">
        <f>JANEIRO!C344</f>
        <v>0</v>
      </c>
      <c r="D10" s="414" t="str">
        <f t="shared" si="0"/>
        <v>0,00%</v>
      </c>
      <c r="E10" s="617" t="e">
        <f>#REF!</f>
        <v>#REF!</v>
      </c>
      <c r="F10" s="31"/>
      <c r="I10" s="246"/>
    </row>
    <row r="11" spans="1:10" x14ac:dyDescent="0.25">
      <c r="B11" s="621" t="str">
        <f>Fluxo_de_Caixa_Janeiro[[#This Row],[Fluxo de Caixa 2026 CTR]]</f>
        <v>1.5 -  ITAU C.C.98671-6 MATRIZ</v>
      </c>
      <c r="C11" s="62">
        <f>JANEIRO!C345</f>
        <v>18153.73</v>
      </c>
      <c r="D11" s="414">
        <f t="shared" si="0"/>
        <v>0.57001823997578471</v>
      </c>
      <c r="E11" s="617" t="e">
        <f>#REF!</f>
        <v>#REF!</v>
      </c>
      <c r="F11" s="31"/>
      <c r="I11" s="246"/>
    </row>
    <row r="12" spans="1:10" x14ac:dyDescent="0.25">
      <c r="B12" s="621" t="str">
        <f>Fluxo_de_Caixa_Janeiro[[#This Row],[Fluxo de Caixa 2026 CTR]]</f>
        <v>1.5.03. ITAU C.C 83290-2 GARANTIDA</v>
      </c>
      <c r="C12" s="62">
        <f>JANEIRO!C346</f>
        <v>1286.28</v>
      </c>
      <c r="D12" s="414">
        <f t="shared" si="0"/>
        <v>4.0388562665416544E-2</v>
      </c>
      <c r="E12" s="617" t="e">
        <f>#REF!</f>
        <v>#REF!</v>
      </c>
      <c r="F12" s="31"/>
      <c r="I12" s="246"/>
    </row>
    <row r="13" spans="1:10" x14ac:dyDescent="0.25">
      <c r="B13" s="621" t="str">
        <f>Fluxo_de_Caixa_Janeiro[[#This Row],[Fluxo de Caixa 2026 CTR]]</f>
        <v>1.9 - CONTA PERDA/ROUBO/BONIFICAÇÃO E DOAÇÃO</v>
      </c>
      <c r="C13" s="62">
        <f>JANEIRO!C347</f>
        <v>0</v>
      </c>
      <c r="D13" s="414" t="str">
        <f t="shared" si="0"/>
        <v>0,00%</v>
      </c>
      <c r="E13" s="66"/>
      <c r="F13" s="31"/>
      <c r="I13" s="246"/>
    </row>
    <row r="14" spans="1:10" hidden="1" x14ac:dyDescent="0.25">
      <c r="B14" s="621">
        <f>Fluxo_de_Caixa_Janeiro[[#This Row],[Fluxo de Caixa 2026 CTR]]</f>
        <v>0</v>
      </c>
      <c r="C14" s="62">
        <f>JANEIRO!C348</f>
        <v>0</v>
      </c>
      <c r="D14" s="414" t="str">
        <f t="shared" si="0"/>
        <v>0,00%</v>
      </c>
      <c r="E14" s="66"/>
      <c r="F14" s="31"/>
      <c r="I14" s="246"/>
    </row>
    <row r="15" spans="1:10" x14ac:dyDescent="0.25">
      <c r="B15" s="621" t="str">
        <f>Fluxo_de_Caixa_Janeiro[[#This Row],[Fluxo de Caixa 2026 CTR]]</f>
        <v>2.1 - BANCO DO BRASIL C.C.60638-3 FILIAL PALMAS</v>
      </c>
      <c r="C15" s="62">
        <f>JANEIRO!C349</f>
        <v>1829.48</v>
      </c>
      <c r="D15" s="414">
        <f t="shared" si="0"/>
        <v>5.744477689548641E-2</v>
      </c>
      <c r="E15" s="66"/>
      <c r="F15" s="31"/>
      <c r="I15" s="246"/>
    </row>
    <row r="16" spans="1:10" hidden="1" x14ac:dyDescent="0.25">
      <c r="B16" s="621">
        <f>Fluxo_de_Caixa_Janeiro[[#This Row],[Fluxo de Caixa 2026 CTR]]</f>
        <v>0</v>
      </c>
      <c r="C16" s="62">
        <f>JANEIRO!C350</f>
        <v>0</v>
      </c>
      <c r="D16" s="414" t="str">
        <f t="shared" si="0"/>
        <v>0,00%</v>
      </c>
      <c r="E16" s="66"/>
      <c r="F16" s="31"/>
      <c r="I16" s="246"/>
    </row>
    <row r="17" spans="1:10" hidden="1" x14ac:dyDescent="0.25">
      <c r="B17" s="621">
        <f>Fluxo_de_Caixa_Janeiro[[#This Row],[Fluxo de Caixa 2026 CTR]]</f>
        <v>0</v>
      </c>
      <c r="C17" s="62">
        <f>JANEIRO!C351</f>
        <v>0</v>
      </c>
      <c r="D17" s="414" t="str">
        <f t="shared" si="0"/>
        <v>0,00%</v>
      </c>
      <c r="E17" s="66"/>
      <c r="F17" s="31"/>
      <c r="I17" s="246"/>
    </row>
    <row r="18" spans="1:10" x14ac:dyDescent="0.25">
      <c r="B18" s="621" t="str">
        <f>Fluxo_de_Caixa_Janeiro[[#This Row],[Fluxo de Caixa 2026 CTR]]</f>
        <v>2.4 - ITAU C.C.98669-0 FILIAL PALMAS</v>
      </c>
      <c r="C18" s="62">
        <f>JANEIRO!C352</f>
        <v>536.72</v>
      </c>
      <c r="D18" s="414">
        <f t="shared" si="0"/>
        <v>1.6852745400521171E-2</v>
      </c>
      <c r="E18" s="66"/>
      <c r="F18" s="31"/>
      <c r="I18" s="246"/>
      <c r="J18" s="246"/>
    </row>
    <row r="19" spans="1:10" x14ac:dyDescent="0.25">
      <c r="B19" s="621" t="str">
        <f>Fluxo_de_Caixa_Janeiro[[#This Row],[Fluxo de Caixa 2026 CTR]]</f>
        <v>2.9 - CONTA PERDA/ROUBO E BONIFICAÇÃO FILIAL</v>
      </c>
      <c r="C19" s="62">
        <f>JANEIRO!C353</f>
        <v>-219.15</v>
      </c>
      <c r="D19" s="414">
        <f t="shared" si="0"/>
        <v>-6.881202777098327E-3</v>
      </c>
      <c r="E19" s="66"/>
      <c r="F19" s="31"/>
      <c r="I19" s="246"/>
    </row>
    <row r="20" spans="1:10" x14ac:dyDescent="0.25">
      <c r="B20" s="621" t="str">
        <f>Fluxo_de_Caixa_Janeiro[[#This Row],[Fluxo de Caixa 2026 CTR]]</f>
        <v>4.0 - TESOURARIA FILIAL PORTO</v>
      </c>
      <c r="C20" s="62">
        <f>JANEIRO!C354</f>
        <v>385.51</v>
      </c>
      <c r="D20" s="414">
        <f t="shared" si="0"/>
        <v>1.2104825382610887E-2</v>
      </c>
      <c r="E20" s="66"/>
      <c r="F20" s="31"/>
      <c r="I20" s="246"/>
    </row>
    <row r="21" spans="1:10" x14ac:dyDescent="0.25">
      <c r="B21" s="621" t="str">
        <f>Fluxo_de_Caixa_Janeiro[[#This Row],[Fluxo de Caixa 2026 CTR]]</f>
        <v>4.1 -  BANCO DO BRASIL C.C.61105-0 FILIAL PORTO</v>
      </c>
      <c r="C21" s="62">
        <f>JANEIRO!C355</f>
        <v>16.829999999999998</v>
      </c>
      <c r="D21" s="414"/>
      <c r="E21" s="617" t="e">
        <f>#REF!</f>
        <v>#REF!</v>
      </c>
      <c r="F21" s="31"/>
      <c r="I21" s="246"/>
      <c r="J21" s="246"/>
    </row>
    <row r="22" spans="1:10" hidden="1" x14ac:dyDescent="0.25">
      <c r="B22" s="621">
        <f>Fluxo_de_Caixa_Janeiro[[#This Row],[Fluxo de Caixa 2026 CTR]]</f>
        <v>0</v>
      </c>
      <c r="C22" s="62">
        <f>JANEIRO!C356</f>
        <v>0</v>
      </c>
      <c r="D22" s="414"/>
      <c r="E22" s="617" t="e">
        <f>#REF!</f>
        <v>#REF!</v>
      </c>
      <c r="F22" s="31"/>
      <c r="I22" s="246"/>
    </row>
    <row r="23" spans="1:10" x14ac:dyDescent="0.25">
      <c r="B23" s="621" t="str">
        <f>Fluxo_de_Caixa_Janeiro[[#This Row],[Fluxo de Caixa 2026 CTR]]</f>
        <v>4.4 - MERCADO PAGO PIX FILIAL PORTO</v>
      </c>
      <c r="C23" s="62">
        <f>JANEIRO!C357</f>
        <v>2060.42</v>
      </c>
      <c r="D23" s="414">
        <f t="shared" si="0"/>
        <v>6.469617990412474E-2</v>
      </c>
      <c r="E23" s="66"/>
      <c r="F23" s="31"/>
      <c r="I23" s="246"/>
      <c r="J23" s="246"/>
    </row>
    <row r="24" spans="1:10" x14ac:dyDescent="0.25">
      <c r="B24" s="621" t="str">
        <f>Fluxo_de_Caixa_Janeiro[[#This Row],[Fluxo de Caixa 2026 CTR]]</f>
        <v>4.9 - CONTA PERDA/ROUBO E BONIFICAÇÃO FILIAL</v>
      </c>
      <c r="C24" s="62">
        <f>JANEIRO!C358</f>
        <v>0</v>
      </c>
      <c r="D24" s="414"/>
      <c r="E24" s="617" t="e">
        <f>#REF!</f>
        <v>#REF!</v>
      </c>
      <c r="F24" s="31"/>
      <c r="I24" s="246"/>
    </row>
    <row r="25" spans="1:10" x14ac:dyDescent="0.25">
      <c r="B25" s="621" t="str">
        <f>Fluxo_de_Caixa_Janeiro[[#This Row],[Fluxo de Caixa 2026 CTR]]</f>
        <v>91.CARTÃO ENDERED 5099+4596+6933+8072 - ESCRITORIO</v>
      </c>
      <c r="C25" s="62">
        <f>JANEIRO!C359</f>
        <v>1362.74</v>
      </c>
      <c r="D25" s="414">
        <f t="shared" si="0"/>
        <v>4.2789369256048253E-2</v>
      </c>
      <c r="E25" s="617" t="e">
        <f>#REF!</f>
        <v>#REF!</v>
      </c>
      <c r="F25" s="31"/>
      <c r="I25" s="246"/>
      <c r="J25" s="287"/>
    </row>
    <row r="26" spans="1:10" ht="15.75" hidden="1" thickBot="1" x14ac:dyDescent="0.3">
      <c r="B26" s="621">
        <f>Fluxo_de_Caixa_Janeiro[[#This Row],[Fluxo de Caixa 2026 CTR]]</f>
        <v>0</v>
      </c>
      <c r="C26" s="62">
        <f>JANEIRO!C361</f>
        <v>-150.01000000001295</v>
      </c>
      <c r="D26" s="414">
        <f t="shared" si="0"/>
        <v>-4.7102406050312986E-3</v>
      </c>
      <c r="E26" s="67"/>
      <c r="F26" s="31"/>
      <c r="G26">
        <v>24</v>
      </c>
      <c r="I26" s="246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1038589.0900000001</v>
      </c>
      <c r="D27" s="416">
        <f>IFERROR(C27/C332,"")</f>
        <v>0.99992916853292868</v>
      </c>
      <c r="E27" s="308">
        <v>0.88526119449158447</v>
      </c>
      <c r="F27" s="32"/>
      <c r="H27" s="246">
        <f>H28+I28</f>
        <v>560226.19000000006</v>
      </c>
      <c r="I27" s="246"/>
      <c r="J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1038589.0900000001</v>
      </c>
      <c r="D28" s="418">
        <f>SUM(D29:D47)</f>
        <v>0.99992916853292868</v>
      </c>
      <c r="E28" s="309">
        <v>0.88251932897796925</v>
      </c>
      <c r="F28" s="32"/>
      <c r="H28" s="570">
        <f>SUM(H29:H36)</f>
        <v>37065.49</v>
      </c>
      <c r="I28" s="570">
        <f>SUM(I29:I36)</f>
        <v>523160.7</v>
      </c>
      <c r="J28" s="570">
        <f>SUM(J29:J36)</f>
        <v>478362.9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4660.3700000000008</v>
      </c>
      <c r="D29" s="420">
        <f t="shared" ref="D29:D47" si="1">IF(C29=0,"0,00%",C29/$C$332)</f>
        <v>4.486894715171527E-3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H29" s="246">
        <v>135.61000000000001</v>
      </c>
      <c r="I29" s="246">
        <v>3436.01</v>
      </c>
      <c r="J29" s="246">
        <v>1088.75</v>
      </c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221053.51</v>
      </c>
      <c r="D30" s="420">
        <f t="shared" si="1"/>
        <v>0.21282512456931879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H30" s="246">
        <v>7056.17</v>
      </c>
      <c r="I30" s="246">
        <v>134559.92000000001</v>
      </c>
      <c r="J30" s="246">
        <v>79437.42</v>
      </c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2"/>
        <v>26907.75</v>
      </c>
      <c r="D31" s="420">
        <f t="shared" si="1"/>
        <v>2.5906149355556886E-2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G31" s="404"/>
      <c r="I31" s="246">
        <v>26907.75</v>
      </c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G32" s="404">
        <f>C361</f>
        <v>180.01000000016575</v>
      </c>
      <c r="I32" s="246"/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>H34+I34+J34</f>
        <v>317162.15000000002</v>
      </c>
      <c r="D34" s="420">
        <f t="shared" si="1"/>
        <v>0.30535626456428117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H34" s="246">
        <v>22534.42</v>
      </c>
      <c r="I34" s="246">
        <f>94826.7+10161.81</f>
        <v>104988.51</v>
      </c>
      <c r="J34" s="246">
        <v>189639.22</v>
      </c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2"/>
        <v>468805.31000000006</v>
      </c>
      <c r="D35" s="420">
        <f t="shared" si="1"/>
        <v>0.45135473532860038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H35" s="246">
        <v>7339.29</v>
      </c>
      <c r="I35" s="246">
        <v>253268.51</v>
      </c>
      <c r="J35" s="246">
        <v>208197.51</v>
      </c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25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-419540.11</v>
      </c>
      <c r="D52" s="424">
        <f>-IFERROR(C52/$C$27,"0,00")</f>
        <v>0.40395197103408814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-397184.55</v>
      </c>
      <c r="I52" s="570">
        <f>-SUBTOTAL(109,I53:I59)</f>
        <v>-20410.32</v>
      </c>
      <c r="J52" s="570">
        <f>-SUBTOTAL(109,J53:J59)</f>
        <v>-1945.2400000000002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400361.57</v>
      </c>
      <c r="D53" s="426">
        <f>IFERROR(C53/$C$27,"0,00%")</f>
        <v>0.38548601545583344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H53" s="246">
        <v>379782.19</v>
      </c>
      <c r="I53" s="246">
        <v>19363.740000000002</v>
      </c>
      <c r="J53" s="246">
        <v>1215.6400000000001</v>
      </c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>
        <f t="shared" ref="D54:D59" si="4">IFERROR(C54/$C$27,"0,00%")</f>
        <v>0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19178.54</v>
      </c>
      <c r="D55" s="426">
        <f t="shared" si="4"/>
        <v>1.8465955578254725E-2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H55" s="246">
        <v>17402.36</v>
      </c>
      <c r="I55" s="246">
        <v>1046.58</v>
      </c>
      <c r="J55" s="246">
        <v>729.6</v>
      </c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>
        <f t="shared" si="4"/>
        <v>0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>
        <f t="shared" si="4"/>
        <v>0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25">
      <c r="B58" s="425">
        <f>Fluxo_de_Caixa_Janeiro[[#This Row],[Fluxo de Caixa 2026 CTR]]</f>
        <v>0</v>
      </c>
      <c r="C58" s="62"/>
      <c r="D58" s="426">
        <f t="shared" si="4"/>
        <v>0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>
        <f t="shared" si="4"/>
        <v>0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-57235.670000000006</v>
      </c>
      <c r="D60" s="424">
        <f>-IFERROR(C60/$C$27,"0,00")</f>
        <v>5.5109061467225696E-2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-20953.13</v>
      </c>
      <c r="I60" s="570">
        <f>-SUBTOTAL(109,I61:I69)</f>
        <v>-29071.86</v>
      </c>
      <c r="J60" s="570">
        <f>-SUBTOTAL(109,J61:J69)</f>
        <v>-7210.68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57235.670000000006</v>
      </c>
      <c r="D61" s="426">
        <f t="shared" ref="D61:D69" si="5">IFERROR(C61/$C$27,"0,00%")</f>
        <v>5.5109061467225696E-2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H61" s="246">
        <v>20953.13</v>
      </c>
      <c r="I61" s="246">
        <v>29071.86</v>
      </c>
      <c r="J61" s="246">
        <v>7210.68</v>
      </c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>
        <f t="shared" si="5"/>
        <v>0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6"/>
        <v>0</v>
      </c>
      <c r="D63" s="426">
        <f t="shared" si="5"/>
        <v>0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>
        <f t="shared" si="5"/>
        <v>0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>
        <f t="shared" si="5"/>
        <v>0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25">
      <c r="B66" s="425">
        <f>Fluxo_de_Caixa_Janeiro[[#This Row],[Fluxo de Caixa 2026 CTR]]</f>
        <v>0</v>
      </c>
      <c r="C66" s="62">
        <f t="shared" si="6"/>
        <v>0</v>
      </c>
      <c r="D66" s="426">
        <f t="shared" si="5"/>
        <v>0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25">
      <c r="B67" s="425">
        <f>Fluxo_de_Caixa_Janeiro[[#This Row],[Fluxo de Caixa 2026 CTR]]</f>
        <v>0</v>
      </c>
      <c r="C67" s="62">
        <f t="shared" si="6"/>
        <v>0</v>
      </c>
      <c r="D67" s="426">
        <f t="shared" si="5"/>
        <v>0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25">
      <c r="B68" s="425">
        <f>Fluxo_de_Caixa_Janeiro[[#This Row],[Fluxo de Caixa 2026 CTR]]</f>
        <v>0</v>
      </c>
      <c r="C68" s="62">
        <f t="shared" si="6"/>
        <v>0</v>
      </c>
      <c r="D68" s="426">
        <f t="shared" si="5"/>
        <v>0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6"/>
        <v>0</v>
      </c>
      <c r="D69" s="426">
        <f t="shared" si="5"/>
        <v>0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-176996.86</v>
      </c>
      <c r="D70" s="427">
        <f>-IFERROR(C70/$C$27,"0,00")</f>
        <v>0.17042048843397725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-123750.42</v>
      </c>
      <c r="I70" s="570">
        <f>-SUBTOTAL(109,I71:I84)</f>
        <v>-22175.94</v>
      </c>
      <c r="J70" s="570">
        <f>-SUBTOTAL(109,J71:J84)</f>
        <v>-31070.5</v>
      </c>
    </row>
    <row r="71" spans="1:10" hidden="1" x14ac:dyDescent="0.25">
      <c r="B71" s="428">
        <f>Fluxo_de_Caixa_Janeiro[[#This Row],[Fluxo de Caixa 2026 CTR]]</f>
        <v>0</v>
      </c>
      <c r="C71" s="62"/>
      <c r="D71" s="426">
        <f t="shared" ref="D71:D84" si="7">IFERROR(C71/$C$27,"0,00%")</f>
        <v>0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50219.25</v>
      </c>
      <c r="D72" s="426">
        <f t="shared" si="7"/>
        <v>4.8353338662550358E-2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>
        <v>50219.25</v>
      </c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30668.76</v>
      </c>
      <c r="D73" s="426">
        <f t="shared" si="7"/>
        <v>2.9529252998411522E-2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>
        <v>30668.76</v>
      </c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>
        <f t="shared" si="7"/>
        <v>0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8"/>
        <v>0</v>
      </c>
      <c r="D75" s="426">
        <f t="shared" si="7"/>
        <v>0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8"/>
        <v>66402.539999999994</v>
      </c>
      <c r="D76" s="426">
        <f t="shared" si="7"/>
        <v>6.3935333655392029E-2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>
        <v>13817.18</v>
      </c>
      <c r="I76" s="284">
        <v>22175.94</v>
      </c>
      <c r="J76" s="284">
        <v>30409.42</v>
      </c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8"/>
        <v>13988.27</v>
      </c>
      <c r="D77" s="426">
        <f t="shared" si="7"/>
        <v>1.3468531621105321E-2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>
        <v>13988.27</v>
      </c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>
        <f t="shared" si="7"/>
        <v>0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8"/>
        <v>204.79</v>
      </c>
      <c r="D79" s="426">
        <f t="shared" si="7"/>
        <v>1.9718096595834641E-4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>
        <v>204.79</v>
      </c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8"/>
        <v>0</v>
      </c>
      <c r="D80" s="426">
        <f t="shared" si="7"/>
        <v>0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8"/>
        <v>0</v>
      </c>
      <c r="D81" s="426">
        <f t="shared" si="7"/>
        <v>0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8"/>
        <v>15513.25</v>
      </c>
      <c r="D82" s="426">
        <f t="shared" si="7"/>
        <v>1.4936850530559683E-2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>
        <v>14852.17</v>
      </c>
      <c r="I82" s="284"/>
      <c r="J82" s="284">
        <v>661.08</v>
      </c>
    </row>
    <row r="83" spans="1:10" hidden="1" x14ac:dyDescent="0.25">
      <c r="B83" s="428">
        <f>Fluxo_de_Caixa_Janeiro[[#This Row],[Fluxo de Caixa 2026 CTR]]</f>
        <v>0</v>
      </c>
      <c r="C83" s="62"/>
      <c r="D83" s="426">
        <f t="shared" si="7"/>
        <v>0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>
        <f t="shared" si="7"/>
        <v>0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-653772.64000000013</v>
      </c>
      <c r="D85" s="430">
        <f>IFERROR(C85/C27,"0,00%")</f>
        <v>-0.62948152093529119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-541888.10000000009</v>
      </c>
      <c r="I85" s="570">
        <f>-SUBTOTAL(109,I52:I84)</f>
        <v>-71658.12</v>
      </c>
      <c r="J85" s="570">
        <f>-SUBTOTAL(109,J52:J84)</f>
        <v>-40226.42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384816.44999999995</v>
      </c>
      <c r="D86" s="432">
        <f>IFERROR(C86/C27,"0,00%")</f>
        <v>0.37051847906470875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-74448.100000000006</v>
      </c>
      <c r="D88" s="436">
        <f>-IFERROR(C88/$C$27,"0,00")</f>
        <v>7.1681958453848185E-2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-68990.28</v>
      </c>
      <c r="I88" s="570">
        <f>-SUBTOTAL(109,I89:I99)</f>
        <v>-170.5</v>
      </c>
      <c r="J88" s="570">
        <f>-SUBTOTAL(109,J89:J99)</f>
        <v>-5287.32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2535</v>
      </c>
      <c r="D89" s="438">
        <f>IFERROR(C89/$C$27,"0,00%")</f>
        <v>2.4408113125856151E-3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H89" s="246">
        <v>2535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8" si="9">H90+I90+J90</f>
        <v>0</v>
      </c>
      <c r="D90" s="438">
        <f t="shared" ref="D90:D99" si="10">IFERROR(C90/$C$27,"0,00%")</f>
        <v>0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9"/>
        <v>0</v>
      </c>
      <c r="D91" s="438">
        <f t="shared" si="10"/>
        <v>0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>
        <f t="shared" si="10"/>
        <v>0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9"/>
        <v>57815.85</v>
      </c>
      <c r="D93" s="438">
        <f t="shared" si="10"/>
        <v>5.5667684704833548E-2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H93" s="246">
        <v>57815.85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9"/>
        <v>5208.04</v>
      </c>
      <c r="D94" s="438">
        <f t="shared" si="10"/>
        <v>5.0145337074549851E-3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H94" s="246">
        <v>3528.04</v>
      </c>
      <c r="I94" s="246">
        <v>160</v>
      </c>
      <c r="J94" s="246">
        <v>1520</v>
      </c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9"/>
        <v>8832.2100000000009</v>
      </c>
      <c r="D95" s="438">
        <f t="shared" si="10"/>
        <v>8.504046581117081E-3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H95" s="246">
        <v>5054.3900000000003</v>
      </c>
      <c r="I95" s="246">
        <v>10.5</v>
      </c>
      <c r="J95" s="246">
        <v>3767.32</v>
      </c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>
        <f t="shared" si="10"/>
        <v>0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>
        <f t="shared" si="10"/>
        <v>0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>
        <f t="shared" si="9"/>
        <v>57</v>
      </c>
      <c r="D98" s="438">
        <f t="shared" si="10"/>
        <v>5.4882147856954667E-5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H98" s="246">
        <v>57</v>
      </c>
      <c r="I98" s="246"/>
      <c r="J98" s="246"/>
    </row>
    <row r="99" spans="1:10" hidden="1" x14ac:dyDescent="0.25">
      <c r="B99" s="437">
        <f>Fluxo_de_Caixa_Janeiro[[#This Row],[Fluxo de Caixa 2026 CTR]]</f>
        <v>0</v>
      </c>
      <c r="C99" s="62"/>
      <c r="D99" s="438">
        <f t="shared" si="10"/>
        <v>0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-65616.5</v>
      </c>
      <c r="D100" s="436">
        <f>-IFERROR(C100/$C$27,"0,00")</f>
        <v>6.3178499207997646E-2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-65258.7</v>
      </c>
      <c r="I100" s="570">
        <f>-SUBTOTAL(109,I101:I130)</f>
        <v>-357.8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33069.85</v>
      </c>
      <c r="D101" s="438">
        <f t="shared" ref="D101:D130" si="11">IFERROR(C101/$C$27,"0,00%")</f>
        <v>3.1841129777321266E-2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H101" s="246">
        <v>33069.85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800</v>
      </c>
      <c r="D102" s="438">
        <f t="shared" si="11"/>
        <v>7.7027575939585496E-4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H102" s="246">
        <v>800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2"/>
        <v>2091.1</v>
      </c>
      <c r="D103" s="438">
        <f t="shared" si="11"/>
        <v>2.0134045505908402E-3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H103" s="246">
        <v>2051.1</v>
      </c>
      <c r="I103" s="246">
        <v>40</v>
      </c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>
        <f t="shared" si="11"/>
        <v>0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2"/>
        <v>549.97</v>
      </c>
      <c r="D105" s="438">
        <f t="shared" si="11"/>
        <v>5.2953569924367298E-4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H105" s="246">
        <v>445.17</v>
      </c>
      <c r="I105" s="246">
        <v>104.8</v>
      </c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2"/>
        <v>438.77</v>
      </c>
      <c r="D106" s="438">
        <f t="shared" si="11"/>
        <v>4.2246736868764909E-4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H106" s="246">
        <v>438.77</v>
      </c>
      <c r="I106" s="246"/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>
        <f t="shared" si="11"/>
        <v>0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>
        <f t="shared" si="11"/>
        <v>0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>
        <f t="shared" si="11"/>
        <v>0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2"/>
        <v>0</v>
      </c>
      <c r="D110" s="438">
        <f t="shared" si="11"/>
        <v>0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>
        <f t="shared" si="11"/>
        <v>0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2"/>
        <v>400</v>
      </c>
      <c r="D112" s="438">
        <f t="shared" si="11"/>
        <v>3.8513787969792748E-4</v>
      </c>
      <c r="E112" s="317">
        <v>3.00036758032117</v>
      </c>
      <c r="F112"/>
      <c r="H112" s="246">
        <v>400</v>
      </c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2"/>
        <v>4123.54</v>
      </c>
      <c r="D113" s="438">
        <f t="shared" si="11"/>
        <v>3.9703286311239799E-3</v>
      </c>
      <c r="E113" s="317">
        <v>4.0003675803211696</v>
      </c>
      <c r="F113"/>
      <c r="H113" s="246">
        <v>4123.54</v>
      </c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2"/>
        <v>11912.77</v>
      </c>
      <c r="D114" s="438">
        <f t="shared" si="11"/>
        <v>1.1470147447822699E-2</v>
      </c>
      <c r="E114" s="317">
        <v>5.0003675803211696</v>
      </c>
      <c r="F114"/>
      <c r="H114" s="284">
        <v>11912.77</v>
      </c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2"/>
        <v>220</v>
      </c>
      <c r="D115" s="438">
        <f t="shared" si="11"/>
        <v>2.118258338338601E-4</v>
      </c>
      <c r="E115" s="317">
        <v>6.0003675803211696</v>
      </c>
      <c r="F115"/>
      <c r="H115" s="246">
        <v>132</v>
      </c>
      <c r="I115" s="246">
        <v>88</v>
      </c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>
        <f t="shared" si="11"/>
        <v>0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2"/>
        <v>2070</v>
      </c>
      <c r="D117" s="438">
        <f t="shared" si="11"/>
        <v>1.9930885274367749E-3</v>
      </c>
      <c r="E117" s="317">
        <v>8.0003675803211696</v>
      </c>
      <c r="F117"/>
      <c r="H117" s="246">
        <v>2070</v>
      </c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2"/>
        <v>245</v>
      </c>
      <c r="D118" s="438">
        <f>IFERROR(C118/$C$27,"0,00%")</f>
        <v>2.3589695131498057E-4</v>
      </c>
      <c r="E118" s="317">
        <v>9.0003675803211696</v>
      </c>
      <c r="F118"/>
      <c r="H118" s="246">
        <v>120</v>
      </c>
      <c r="I118" s="246">
        <v>125</v>
      </c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2"/>
        <v>0</v>
      </c>
      <c r="D119" s="438">
        <f t="shared" si="11"/>
        <v>0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2"/>
        <v>9695.5</v>
      </c>
      <c r="D120" s="438">
        <f t="shared" si="11"/>
        <v>9.3352607815281388E-3</v>
      </c>
      <c r="E120" s="317" t="e">
        <f>#REF!</f>
        <v>#REF!</v>
      </c>
      <c r="F120"/>
      <c r="H120" s="246">
        <v>9695.5</v>
      </c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2"/>
        <v>0</v>
      </c>
      <c r="D121" s="438">
        <f t="shared" si="11"/>
        <v>0</v>
      </c>
      <c r="E121" s="317" t="e">
        <f>#REF!</f>
        <v>#REF!</v>
      </c>
      <c r="F121"/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>
        <f t="shared" si="11"/>
        <v>0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>
        <f t="shared" si="11"/>
        <v>0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>
        <f t="shared" si="11"/>
        <v>0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>
        <f t="shared" si="11"/>
        <v>0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>
        <f t="shared" si="11"/>
        <v>0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>
        <f t="shared" si="11"/>
        <v>0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>
        <f t="shared" si="11"/>
        <v>0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>
        <f t="shared" si="11"/>
        <v>0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>
        <f t="shared" si="11"/>
        <v>0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-6089.2800000000007</v>
      </c>
      <c r="D131" s="436">
        <f>-IFERROR(C131/$C$27,"0,00")</f>
        <v>5.8630309702174905E-3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-5338.2300000000005</v>
      </c>
      <c r="I131" s="570">
        <f>-SUBTOTAL(109,I132:I144)</f>
        <v>-423.5</v>
      </c>
      <c r="J131" s="570">
        <f>-SUBTOTAL(109,J132:J144)</f>
        <v>-327.55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>
        <f t="shared" ref="D132:D144" si="13">IFERROR(C132/$C$27,"0,00%")</f>
        <v>0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4">H133+I133+J133</f>
        <v>0</v>
      </c>
      <c r="D133" s="438">
        <f t="shared" si="13"/>
        <v>0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4"/>
        <v>1350</v>
      </c>
      <c r="D134" s="438">
        <f t="shared" si="13"/>
        <v>1.2998403439805051E-3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H134" s="246">
        <v>1350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4"/>
        <v>3462.52</v>
      </c>
      <c r="D135" s="438">
        <f t="shared" si="13"/>
        <v>3.3338690280291694E-3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H135" s="246">
        <v>2711.47</v>
      </c>
      <c r="I135" s="246">
        <v>423.5</v>
      </c>
      <c r="J135" s="246">
        <v>327.55</v>
      </c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4"/>
        <v>336.62</v>
      </c>
      <c r="D136" s="438">
        <f t="shared" si="13"/>
        <v>3.2411278265979086E-4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H136" s="246">
        <v>336.62</v>
      </c>
      <c r="I136" s="246">
        <v>0</v>
      </c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4"/>
        <v>940.14</v>
      </c>
      <c r="D137" s="438">
        <f t="shared" si="13"/>
        <v>9.0520881554802387E-4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H137" s="246">
        <v>940.14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>
        <f t="shared" si="13"/>
        <v>0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>
        <f t="shared" si="13"/>
        <v>0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25">
      <c r="B140" s="437" t="str">
        <f>Fluxo_de_Caixa_Janeiro[[#This Row],[Fluxo de Caixa 2026 CTR]]</f>
        <v>3.3.09. Viagens e Estadias - CPD</v>
      </c>
      <c r="C140" s="62"/>
      <c r="D140" s="438">
        <f t="shared" si="13"/>
        <v>0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>
        <f t="shared" si="13"/>
        <v>0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>
        <f t="shared" si="13"/>
        <v>0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>
        <f t="shared" si="13"/>
        <v>0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>
        <f t="shared" si="13"/>
        <v>0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-38145.9</v>
      </c>
      <c r="D145" s="436">
        <f>-IFERROR(C145/$C$27,"0,00")</f>
        <v>3.6728577612922933E-2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-38060.950000000004</v>
      </c>
      <c r="I145" s="570">
        <f>-SUBTOTAL(109,I146:I166)</f>
        <v>-84.95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1995.03</v>
      </c>
      <c r="D146" s="438">
        <f t="shared" ref="D146:D166" si="15">IFERROR(C146/$C$27,"0,00%")</f>
        <v>1.9209040603343907E-3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H146" s="246">
        <v>1938.08</v>
      </c>
      <c r="I146" s="246">
        <v>56.95</v>
      </c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499.11</v>
      </c>
      <c r="D147" s="438">
        <f t="shared" si="15"/>
        <v>4.8056541784008145E-4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H147" s="246">
        <v>499.11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>
        <f t="shared" si="15"/>
        <v>0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6"/>
        <v>0</v>
      </c>
      <c r="D149" s="438">
        <f t="shared" si="15"/>
        <v>0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6"/>
        <v>0</v>
      </c>
      <c r="D150" s="438">
        <f t="shared" si="15"/>
        <v>0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6"/>
        <v>2453.31</v>
      </c>
      <c r="D151" s="438">
        <f t="shared" si="15"/>
        <v>2.3621565291043062E-3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H151" s="246">
        <v>2425.31</v>
      </c>
      <c r="I151" s="246">
        <v>28</v>
      </c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6"/>
        <v>2000</v>
      </c>
      <c r="D152" s="438">
        <f t="shared" si="15"/>
        <v>1.9256893984896373E-3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H152" s="246">
        <v>2000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>
        <f t="shared" si="15"/>
        <v>0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6"/>
        <v>6415.01</v>
      </c>
      <c r="D154" s="438">
        <f t="shared" si="15"/>
        <v>6.1766583741025049E-3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H154" s="246">
        <v>6415.01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>
        <f t="shared" si="15"/>
        <v>0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>
        <f t="shared" si="15"/>
        <v>0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>
        <f t="shared" si="15"/>
        <v>0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6"/>
        <v>601</v>
      </c>
      <c r="D158" s="438">
        <f t="shared" si="15"/>
        <v>5.7866966424613604E-4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H158" s="246">
        <v>601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6"/>
        <v>883.13</v>
      </c>
      <c r="D159" s="438">
        <f t="shared" si="15"/>
        <v>8.5031703924407669E-4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H159" s="246">
        <v>883.13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>
        <f t="shared" si="15"/>
        <v>0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6"/>
        <v>23234.33</v>
      </c>
      <c r="D161" s="438">
        <f t="shared" si="15"/>
        <v>2.2371051481004871E-2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H161" s="246">
        <v>23234.33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>
        <f t="shared" si="15"/>
        <v>0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>
        <f t="shared" si="15"/>
        <v>0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>
        <f t="shared" si="15"/>
        <v>0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6"/>
        <v>64.98</v>
      </c>
      <c r="D165" s="438">
        <f t="shared" si="15"/>
        <v>6.2565648556928317E-5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H165" s="246">
        <v>64.98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>
        <f t="shared" si="15"/>
        <v>0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-32358.45</v>
      </c>
      <c r="D167" s="436">
        <f>-IFERROR(C167/$C$27,"0,00")</f>
        <v>3.1156162058278505E-2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-31306.760000000002</v>
      </c>
      <c r="I167" s="570">
        <f>-SUBTOTAL(109,I168:I181)</f>
        <v>-1051.69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340.34</v>
      </c>
      <c r="D168" s="438">
        <f t="shared" ref="D168:D181" si="17">IFERROR(C168/$C$27,"0,00%")</f>
        <v>3.2769456494098154E-4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H168" s="246">
        <v>340.34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2796.16</v>
      </c>
      <c r="D169" s="438">
        <f t="shared" si="17"/>
        <v>2.692267834240392E-3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H169" s="246">
        <v>1744.47</v>
      </c>
      <c r="I169" s="246">
        <v>1051.69</v>
      </c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8"/>
        <v>928.7</v>
      </c>
      <c r="D170" s="438">
        <f t="shared" si="17"/>
        <v>8.9419387218866314E-4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>
        <v>928.7</v>
      </c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8"/>
        <v>423.25</v>
      </c>
      <c r="D171" s="438">
        <f t="shared" si="17"/>
        <v>4.0752401895536948E-4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H171" s="246">
        <v>423.25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8"/>
        <v>18200</v>
      </c>
      <c r="D172" s="438">
        <f t="shared" si="17"/>
        <v>1.7523773526255702E-2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H172" s="246">
        <v>18200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>
        <f t="shared" si="17"/>
        <v>0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8"/>
        <v>670</v>
      </c>
      <c r="D174" s="438">
        <f t="shared" si="17"/>
        <v>6.4510594849402853E-4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H174" s="246">
        <v>670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8"/>
        <v>0</v>
      </c>
      <c r="D175" s="438">
        <f t="shared" si="17"/>
        <v>0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>
        <f t="shared" si="17"/>
        <v>0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8"/>
        <v>9000</v>
      </c>
      <c r="D177" s="438">
        <f t="shared" si="17"/>
        <v>8.6656022932033675E-3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H177" s="246">
        <v>9000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>
        <f t="shared" si="17"/>
        <v>0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>
        <f t="shared" si="17"/>
        <v>0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>
        <f t="shared" si="17"/>
        <v>0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>
        <f t="shared" si="17"/>
        <v>0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-31980.16</v>
      </c>
      <c r="D182" s="436">
        <f>-IFERROR(C182/$C$27,"0,00")</f>
        <v>3.079192753700118E-2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-31080.489999999998</v>
      </c>
      <c r="I182" s="570">
        <f>-SUBTOTAL(109,I183:I199)</f>
        <v>-832.73</v>
      </c>
      <c r="J182" s="570">
        <f>-SUBTOTAL(109,J183:J199)</f>
        <v>-66.94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1343.4800000000002</v>
      </c>
      <c r="D183" s="438">
        <f t="shared" ref="D183:D199" si="19">IFERROR(C183/$C$27,"0,00%")</f>
        <v>1.2935625965414292E-3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H183" s="246">
        <v>1151.6400000000001</v>
      </c>
      <c r="I183" s="246">
        <v>124.9</v>
      </c>
      <c r="J183" s="246">
        <v>66.94</v>
      </c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0">H184+I184+J184</f>
        <v>456.5</v>
      </c>
      <c r="D184" s="438">
        <f t="shared" si="19"/>
        <v>4.3953860520525972E-4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H184" s="246">
        <v>456.5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>
        <f t="shared" si="19"/>
        <v>0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0"/>
        <v>0</v>
      </c>
      <c r="D186" s="438">
        <f t="shared" si="19"/>
        <v>0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>
        <f t="shared" si="19"/>
        <v>0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0"/>
        <v>0</v>
      </c>
      <c r="D188" s="438">
        <f t="shared" si="19"/>
        <v>0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0"/>
        <v>0</v>
      </c>
      <c r="D189" s="438">
        <f t="shared" si="19"/>
        <v>0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0"/>
        <v>29472.35</v>
      </c>
      <c r="D190" s="438">
        <f t="shared" si="19"/>
        <v>2.8377295971788029E-2</v>
      </c>
      <c r="E190" s="317">
        <v>-6</v>
      </c>
      <c r="F190"/>
      <c r="H190" s="246">
        <v>29472.35</v>
      </c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>
        <f t="shared" si="19"/>
        <v>0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0"/>
        <v>0</v>
      </c>
      <c r="D192" s="438">
        <f t="shared" si="19"/>
        <v>0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0"/>
        <v>0</v>
      </c>
      <c r="D193" s="438">
        <f t="shared" si="19"/>
        <v>0</v>
      </c>
      <c r="E193" s="317">
        <v>-3</v>
      </c>
      <c r="F193"/>
      <c r="I193" s="246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>
        <f t="shared" si="19"/>
        <v>0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0"/>
        <v>0</v>
      </c>
      <c r="D195" s="438">
        <f t="shared" si="19"/>
        <v>0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>
        <f t="shared" si="19"/>
        <v>0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>
        <f t="shared" si="19"/>
        <v>0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>
        <f t="shared" si="19"/>
        <v>0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0"/>
        <v>707.83</v>
      </c>
      <c r="D199" s="438">
        <f t="shared" si="19"/>
        <v>6.8153036346646002E-4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>
        <v>707.83</v>
      </c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-22258.140000000003</v>
      </c>
      <c r="D200" s="436">
        <f>-IFERROR(C200/$C$27,"0,00")</f>
        <v>2.1431132114049071E-2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-21217.61</v>
      </c>
      <c r="I200" s="570">
        <f>-SUBTOTAL(109,I201:I211)</f>
        <v>-1040.53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4432.5600000000004</v>
      </c>
      <c r="D201" s="438">
        <f t="shared" ref="D201:D211" si="21">IFERROR(C201/$C$27,"0,00%")</f>
        <v>4.267866900084614E-3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H201" s="246">
        <v>3392.03</v>
      </c>
      <c r="I201" s="246">
        <v>1040.53</v>
      </c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212</v>
      </c>
      <c r="D202" s="438">
        <f t="shared" si="21"/>
        <v>2.0412307623990156E-4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H202" s="246">
        <v>212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>
        <f t="shared" si="21"/>
        <v>0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2"/>
        <v>0</v>
      </c>
      <c r="D204" s="438">
        <f t="shared" si="21"/>
        <v>0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>
        <f t="shared" si="21"/>
        <v>0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2"/>
        <v>17493.580000000002</v>
      </c>
      <c r="D206" s="438">
        <f t="shared" si="21"/>
        <v>1.6843600773815175E-2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H206" s="246">
        <v>17493.580000000002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2"/>
        <v>120</v>
      </c>
      <c r="D207" s="438">
        <f t="shared" si="21"/>
        <v>1.1554136390937824E-4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H207" s="246">
        <v>120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2"/>
        <v>0</v>
      </c>
      <c r="D208" s="438">
        <f t="shared" si="21"/>
        <v>0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>
        <f t="shared" si="21"/>
        <v>0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>
        <f t="shared" si="21"/>
        <v>0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>
        <f t="shared" si="21"/>
        <v>0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-386.46000000000004</v>
      </c>
      <c r="D212" s="436">
        <f>-IFERROR(C212/$C$27,"0,00")</f>
        <v>3.7210096247015267E-4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-386.46000000000004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>
        <f t="shared" ref="D213:D230" si="23">IFERROR(C213/$C$27,"0,00%")</f>
        <v>0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>
        <f t="shared" si="23"/>
        <v>0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297.67</v>
      </c>
      <c r="D215" s="438">
        <f t="shared" si="23"/>
        <v>2.8660998162420521E-4</v>
      </c>
      <c r="E215" s="317" t="e">
        <f>#REF!</f>
        <v>#REF!</v>
      </c>
      <c r="F215"/>
      <c r="H215" s="246">
        <v>297.67</v>
      </c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4">H216+I216+J216</f>
        <v>0</v>
      </c>
      <c r="D216" s="438">
        <f t="shared" si="23"/>
        <v>0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4"/>
        <v>88.79</v>
      </c>
      <c r="D217" s="438">
        <f t="shared" si="23"/>
        <v>8.5490980845947455E-5</v>
      </c>
      <c r="E217" s="317" t="e">
        <f>#REF!</f>
        <v>#REF!</v>
      </c>
      <c r="F217"/>
      <c r="H217" s="246">
        <v>88.79</v>
      </c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4"/>
        <v>0</v>
      </c>
      <c r="D218" s="438">
        <f t="shared" si="23"/>
        <v>0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4"/>
        <v>0</v>
      </c>
      <c r="D219" s="438">
        <f t="shared" si="23"/>
        <v>0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>
        <f t="shared" si="23"/>
        <v>0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>
        <f t="shared" si="23"/>
        <v>0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>
        <f t="shared" si="23"/>
        <v>0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>
        <f t="shared" si="23"/>
        <v>0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>
        <f t="shared" si="23"/>
        <v>0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>
        <f t="shared" si="23"/>
        <v>0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4"/>
        <v>0</v>
      </c>
      <c r="D226" s="438">
        <f t="shared" si="23"/>
        <v>0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4"/>
        <v>0</v>
      </c>
      <c r="D227" s="438">
        <f t="shared" si="23"/>
        <v>0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4"/>
        <v>0</v>
      </c>
      <c r="D228" s="438">
        <f t="shared" si="23"/>
        <v>0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>
        <f t="shared" si="23"/>
        <v>0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>
        <f t="shared" si="23"/>
        <v>0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>
        <f t="shared" ref="D232:D237" si="25">IFERROR(C232/$C$27,"0,00%")</f>
        <v>0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>
        <f t="shared" si="25"/>
        <v>0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>
        <f t="shared" si="25"/>
        <v>0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>
        <f t="shared" si="25"/>
        <v>0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-271282.99000000005</v>
      </c>
      <c r="D236" s="441">
        <f t="shared" si="25"/>
        <v>-0.26120338891678518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-261639.48000000004</v>
      </c>
      <c r="I236" s="570">
        <f>-SUBTOTAL(109,I88:I235)</f>
        <v>-3961.7</v>
      </c>
      <c r="J236" s="570">
        <f>-SUBTOTAL(109,J88:J235)</f>
        <v>-5681.8099999999995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113533.4599999999</v>
      </c>
      <c r="D237" s="443">
        <f t="shared" si="25"/>
        <v>0.10931509014792357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73.570000000000007</v>
      </c>
      <c r="D238" s="445">
        <f>SUM(D239,D248,D261)</f>
        <v>7.0831467071320341E-5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1.56</v>
      </c>
      <c r="I238" s="570">
        <f>+SUBTOTAL(109,I239:I271)</f>
        <v>0</v>
      </c>
      <c r="J238" s="570">
        <f>+SUBTOTAL(109,J239:J271)</f>
        <v>72.010000000000005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1.56</v>
      </c>
      <c r="D248" s="418">
        <f t="shared" si="26"/>
        <v>1.5019313392858468E-6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1.56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8"/>
        <v>1.56</v>
      </c>
      <c r="D254" s="420">
        <f t="shared" si="26"/>
        <v>1.5019313392858468E-6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H254" s="246">
        <v>1.56</v>
      </c>
      <c r="I254" s="246"/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72.010000000000005</v>
      </c>
      <c r="D261" s="418">
        <f t="shared" si="26"/>
        <v>6.9329535732034499E-5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72.010000000000005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25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29"/>
        <v>72.010000000000005</v>
      </c>
      <c r="D268" s="420">
        <f t="shared" si="26"/>
        <v>6.9329535732034499E-5</v>
      </c>
      <c r="E268" s="325" t="e">
        <f>#REF!</f>
        <v>#REF!</v>
      </c>
      <c r="F268"/>
      <c r="I268" s="246"/>
      <c r="J268" s="246">
        <v>72.010000000000005</v>
      </c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-18250.93</v>
      </c>
      <c r="D273" s="436">
        <f>-IFERROR(C273/$C$332,"0,00")</f>
        <v>1.7571566498789895E-2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-18250.93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18250.93</v>
      </c>
      <c r="D274" s="450">
        <f t="shared" ref="D274:D293" si="30">IFERROR(C274/$C$332,"0,00%")</f>
        <v>1.7571566498789895E-2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H274" s="246">
        <v>18250.93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>
        <f t="shared" si="30"/>
        <v>0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>
        <f t="shared" si="30"/>
        <v>0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1"/>
        <v>0</v>
      </c>
      <c r="D277" s="450">
        <f t="shared" si="30"/>
        <v>0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>
        <f t="shared" si="30"/>
        <v>0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>
        <f t="shared" si="30"/>
        <v>0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>
        <f t="shared" si="30"/>
        <v>0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>
        <f t="shared" si="30"/>
        <v>0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>
        <f t="shared" si="30"/>
        <v>0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>
        <f t="shared" si="30"/>
        <v>0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>
        <f t="shared" si="30"/>
        <v>0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>
        <f t="shared" si="30"/>
        <v>0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>
        <f t="shared" si="30"/>
        <v>0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>
        <f t="shared" si="30"/>
        <v>0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>
        <f t="shared" si="30"/>
        <v>0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>
        <f t="shared" si="30"/>
        <v>0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>
        <f t="shared" si="30"/>
        <v>0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>
        <f t="shared" si="30"/>
        <v>0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>
        <f t="shared" si="30"/>
        <v>0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>
        <f t="shared" si="30"/>
        <v>0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-108972.08</v>
      </c>
      <c r="D294" s="436">
        <f>-IFERROR(C294/$C$332,"0,00")</f>
        <v>0.10491575773023361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-108972.08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100000</v>
      </c>
      <c r="D295" s="450">
        <f t="shared" ref="D295:D311" si="32">IFERROR(C295/$C$332,"0,00%")</f>
        <v>9.6277649954220931E-2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H295" s="246">
        <v>100000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>
        <f t="shared" si="32"/>
        <v>0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3"/>
        <v>0</v>
      </c>
      <c r="D297" s="450">
        <f t="shared" si="32"/>
        <v>0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3"/>
        <v>2373.11</v>
      </c>
      <c r="D298" s="450">
        <f t="shared" si="32"/>
        <v>2.2847745388286126E-3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H298" s="246">
        <v>2373.11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3"/>
        <v>664.71</v>
      </c>
      <c r="D299" s="450">
        <f t="shared" si="32"/>
        <v>6.39967167010702E-4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H299" s="246">
        <v>664.71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3"/>
        <v>934.26</v>
      </c>
      <c r="D300" s="450">
        <f t="shared" si="32"/>
        <v>8.9948357246230452E-4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H300" s="246">
        <v>934.26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>
        <f t="shared" si="32"/>
        <v>0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>
        <f t="shared" si="32"/>
        <v>0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>
        <f t="shared" si="32"/>
        <v>0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>
        <f t="shared" si="32"/>
        <v>0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3"/>
        <v>5000</v>
      </c>
      <c r="D305" s="450">
        <f t="shared" si="32"/>
        <v>4.8138824977110471E-3</v>
      </c>
      <c r="E305" s="329" t="e">
        <f>#REF!</f>
        <v>#REF!</v>
      </c>
      <c r="F305"/>
      <c r="H305" s="246">
        <v>5000</v>
      </c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>
        <f t="shared" si="32"/>
        <v>0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>
        <f t="shared" si="32"/>
        <v>0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>
        <f t="shared" si="32"/>
        <v>0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>
        <f t="shared" si="32"/>
        <v>0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>
        <f t="shared" si="32"/>
        <v>0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>
        <f t="shared" si="32"/>
        <v>0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>
        <f>IFERROR(C312/$C$332,"0,00%")</f>
        <v>0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>
        <f>IFERROR(C313/$C$332,"0,00%")</f>
        <v>0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>
        <f>IFERROR(C314/$C$332,"0,00%")</f>
        <v>0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-1450</v>
      </c>
      <c r="D315" s="436">
        <f>-IFERROR(C315/$C$332,"0,00")</f>
        <v>1.3960259243362037E-3</v>
      </c>
      <c r="E315" s="318">
        <v>8.1949891731061042E-2</v>
      </c>
      <c r="F315"/>
      <c r="H315" s="570">
        <f>-SUBTOTAL(109,H316:H321)</f>
        <v>-1450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>
        <f t="shared" ref="D316:D321" si="34">IFERROR(C316/$C$332,"0,00%")</f>
        <v>0</v>
      </c>
      <c r="E316" s="329" t="e">
        <f>#REF!</f>
        <v>#REF!</v>
      </c>
      <c r="F316"/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1450</v>
      </c>
      <c r="D317" s="450">
        <f t="shared" si="34"/>
        <v>1.3960259243362037E-3</v>
      </c>
      <c r="E317" s="329" t="e">
        <f>#REF!</f>
        <v>#REF!</v>
      </c>
      <c r="F317"/>
      <c r="H317" s="246">
        <v>1450</v>
      </c>
      <c r="I317" s="246"/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>
        <f t="shared" si="34"/>
        <v>0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>
        <f t="shared" si="34"/>
        <v>0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>
        <f t="shared" si="34"/>
        <v>0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>
        <f t="shared" si="34"/>
        <v>0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-8004.07</v>
      </c>
      <c r="D322" s="436">
        <f>-IFERROR(C322/$C$332,"0,00")</f>
        <v>7.7061304966908111E-3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-8004.07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>
        <f t="shared" ref="D323:D329" si="36">IFERROR(C323/$C$332,"0,00%")</f>
        <v>0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>
        <f t="shared" si="36"/>
        <v>0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>
        <f t="shared" si="36"/>
        <v>0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8004.07</v>
      </c>
      <c r="D326" s="450">
        <f t="shared" si="36"/>
        <v>7.7061304966908111E-3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H326" s="246">
        <v>8004.07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>
        <f t="shared" si="36"/>
        <v>0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>
        <f t="shared" si="36"/>
        <v>0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>
        <f t="shared" si="36"/>
        <v>0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-136677.07999999999</v>
      </c>
      <c r="D330" s="452">
        <f>IFERROR(C330/(C27+C238),"0,00%")</f>
        <v>-0.13158948065005049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-136677.07999999999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31847.63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1038662.66</v>
      </c>
      <c r="D332" s="456">
        <f>SUM(D27,D238)</f>
        <v>1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7" customHeight="1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-1061732.7100000002</v>
      </c>
      <c r="D333" s="458">
        <f>IFERROR(C333/C332,"0,00%")</f>
        <v>-1.0222113019832639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-940204.66</v>
      </c>
      <c r="I333" s="571">
        <f>SUM(I85,I236,I330)</f>
        <v>-75619.819999999992</v>
      </c>
      <c r="J333" s="571">
        <f>SUM(J85,J236,J330)</f>
        <v>-45908.229999999996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-23070.050000000163</v>
      </c>
      <c r="D334" s="460">
        <f>IFERROR(C334/C332,"0,00%")</f>
        <v>-2.2211301983263904E-2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37067.049999999996</v>
      </c>
      <c r="I334" s="570">
        <f>I28+I238</f>
        <v>523160.7</v>
      </c>
      <c r="J334" s="570">
        <f>J28+J238</f>
        <v>478434.91000000003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8777.5799999998417</v>
      </c>
      <c r="D335" s="462">
        <f>IFERROR(C335/(C332+C331),"0,00%")</f>
        <v>8.1994354299946438E-3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560227.75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SUBTOTAL(109,C337:C359)</f>
        <v>8957.5900000000074</v>
      </c>
      <c r="D336" s="412">
        <f>SUM(D337:D360)</f>
        <v>4.2455001847595133</v>
      </c>
      <c r="E336" s="336">
        <v>1</v>
      </c>
      <c r="F336" s="34"/>
      <c r="I336" s="246"/>
    </row>
    <row r="337" spans="2:9" x14ac:dyDescent="0.25">
      <c r="B337" s="413" t="str">
        <f>Fluxo_de_Caixa_Janeiro[[#This Row],[Fluxo de Caixa 2026 CTR]]</f>
        <v>1.0 - TESOURARIA MATRIZ PALMAS</v>
      </c>
      <c r="C337" s="62">
        <v>337.58</v>
      </c>
      <c r="D337" s="414">
        <f>IFERROR(C337/$C$336,"0,00%")</f>
        <v>3.7686475938282477E-2</v>
      </c>
      <c r="E337" s="337">
        <v>0.29736693118255098</v>
      </c>
      <c r="F337" s="34"/>
      <c r="G337">
        <v>1</v>
      </c>
      <c r="H337" s="246">
        <f t="shared" ref="H337:H356" si="37">C3</f>
        <v>40.53</v>
      </c>
      <c r="I337" s="246">
        <f>Fluxo_de_Caixa_Janeiro3[[#This Row],[Fevereiro]]-H337</f>
        <v>297.04999999999995</v>
      </c>
    </row>
    <row r="338" spans="2:9" x14ac:dyDescent="0.25">
      <c r="B338" s="413" t="str">
        <f>Fluxo_de_Caixa_Janeiro[[#This Row],[Fluxo de Caixa 2026 CTR]]</f>
        <v>1.1 - BANCO DO BRASIL C.C.60409-7 MATRIZ</v>
      </c>
      <c r="C338" s="62">
        <v>55.77</v>
      </c>
      <c r="D338" s="414">
        <f t="shared" ref="D338:D357" si="38">IFERROR(C338/$C$336,"0,00%")</f>
        <v>6.2260049857160195E-3</v>
      </c>
      <c r="E338" s="337">
        <v>0.33251761890884102</v>
      </c>
      <c r="F338" s="34"/>
      <c r="G338">
        <v>2</v>
      </c>
      <c r="H338" s="246">
        <f t="shared" si="37"/>
        <v>108.85</v>
      </c>
      <c r="I338" s="246"/>
    </row>
    <row r="339" spans="2:9" hidden="1" x14ac:dyDescent="0.25">
      <c r="B339" s="413">
        <f>Fluxo_de_Caixa_Janeiro[[#This Row],[Fluxo de Caixa 2026 CTR]]</f>
        <v>0</v>
      </c>
      <c r="C339" s="62"/>
      <c r="D339" s="414">
        <f t="shared" si="38"/>
        <v>0</v>
      </c>
      <c r="E339" s="337">
        <v>0.31943681701513732</v>
      </c>
      <c r="F339" s="34"/>
      <c r="G339">
        <v>3</v>
      </c>
      <c r="H339" s="246">
        <f t="shared" si="37"/>
        <v>0</v>
      </c>
      <c r="I339" s="246"/>
    </row>
    <row r="340" spans="2:9" x14ac:dyDescent="0.25">
      <c r="B340" s="413" t="str">
        <f>Fluxo_de_Caixa_Janeiro[[#This Row],[Fluxo de Caixa 2026 CTR]]</f>
        <v>1.2-BRADESCO 15232-3 MATRIZ</v>
      </c>
      <c r="C340" s="62">
        <v>25.97</v>
      </c>
      <c r="D340" s="414">
        <f t="shared" si="38"/>
        <v>2.8992173117992647E-3</v>
      </c>
      <c r="E340" s="337">
        <v>0</v>
      </c>
      <c r="F340" s="34"/>
      <c r="G340">
        <v>3</v>
      </c>
      <c r="H340" s="246">
        <f t="shared" si="37"/>
        <v>3332.91</v>
      </c>
      <c r="I340" s="246"/>
    </row>
    <row r="341" spans="2:9" hidden="1" x14ac:dyDescent="0.25">
      <c r="B341" s="413">
        <f>Fluxo_de_Caixa_Janeiro[[#This Row],[Fluxo de Caixa 2026 CTR]]</f>
        <v>0</v>
      </c>
      <c r="C341" s="62"/>
      <c r="D341" s="414">
        <f t="shared" si="38"/>
        <v>0</v>
      </c>
      <c r="E341" s="337">
        <v>1.4395773294013838E-2</v>
      </c>
      <c r="F341" s="34"/>
      <c r="G341">
        <v>5</v>
      </c>
      <c r="H341" s="246">
        <f t="shared" si="37"/>
        <v>0</v>
      </c>
      <c r="I341" s="246"/>
    </row>
    <row r="342" spans="2:9" x14ac:dyDescent="0.25">
      <c r="B342" s="413" t="str">
        <f>Fluxo_de_Caixa_Janeiro[[#This Row],[Fluxo de Caixa 2026 CTR]]</f>
        <v>1.3 - BANCO STONE MATRIZ C.C 40256726-7</v>
      </c>
      <c r="C342" s="62">
        <v>0</v>
      </c>
      <c r="D342" s="414">
        <f t="shared" si="38"/>
        <v>0</v>
      </c>
      <c r="E342" s="337">
        <v>1.1641126229335877E-2</v>
      </c>
      <c r="F342" s="34"/>
      <c r="G342">
        <v>4</v>
      </c>
      <c r="H342" s="246">
        <f t="shared" si="37"/>
        <v>2671</v>
      </c>
      <c r="I342" s="246"/>
    </row>
    <row r="343" spans="2:9" x14ac:dyDescent="0.25">
      <c r="B343" s="413" t="str">
        <f>Fluxo_de_Caixa_Janeiro[[#This Row],[Fluxo de Caixa 2026 CTR]]</f>
        <v>1.4 - BANCO DA AMAZONIA 071730-7 MATRIZ</v>
      </c>
      <c r="C343" s="62">
        <v>1900.51</v>
      </c>
      <c r="D343" s="414">
        <f t="shared" si="38"/>
        <v>0.21216755846159496</v>
      </c>
      <c r="E343" s="337">
        <v>2.4641733370120961E-2</v>
      </c>
      <c r="F343" s="34"/>
      <c r="G343">
        <v>7</v>
      </c>
      <c r="H343" s="246">
        <f t="shared" si="37"/>
        <v>281.77999999999997</v>
      </c>
      <c r="I343" s="246"/>
    </row>
    <row r="344" spans="2:9" x14ac:dyDescent="0.25">
      <c r="B344" s="413" t="str">
        <f>Fluxo_de_Caixa_Janeiro[[#This Row],[Fluxo de Caixa 2026 CTR]]</f>
        <v>1.4.1.INVESTIMENTO CDBORE RCP TXFL</v>
      </c>
      <c r="C344" s="62"/>
      <c r="D344" s="414">
        <f t="shared" si="38"/>
        <v>0</v>
      </c>
      <c r="E344" s="337">
        <v>0</v>
      </c>
      <c r="F344" s="34"/>
      <c r="G344">
        <v>5</v>
      </c>
      <c r="H344" s="246">
        <f t="shared" si="37"/>
        <v>0</v>
      </c>
      <c r="I344" s="246"/>
    </row>
    <row r="345" spans="2:9" x14ac:dyDescent="0.25">
      <c r="B345" s="413" t="str">
        <f>Fluxo_de_Caixa_Janeiro[[#This Row],[Fluxo de Caixa 2026 CTR]]</f>
        <v>1.5 -  ITAU C.C.98671-6 MATRIZ</v>
      </c>
      <c r="C345" s="62">
        <v>33831.300000000003</v>
      </c>
      <c r="D345" s="414">
        <f t="shared" si="38"/>
        <v>3.7768305984087212</v>
      </c>
      <c r="E345" s="617" t="e">
        <f>#REF!</f>
        <v>#REF!</v>
      </c>
      <c r="F345" s="34"/>
      <c r="G345">
        <v>6</v>
      </c>
      <c r="H345" s="246">
        <f t="shared" si="37"/>
        <v>18153.73</v>
      </c>
      <c r="I345" s="246"/>
    </row>
    <row r="346" spans="2:9" x14ac:dyDescent="0.25">
      <c r="B346" s="413" t="str">
        <f>Fluxo_de_Caixa_Janeiro[[#This Row],[Fluxo de Caixa 2026 CTR]]</f>
        <v>1.5.03. ITAU C.C 83290-2 GARANTIDA</v>
      </c>
      <c r="C346" s="62">
        <v>5399.76</v>
      </c>
      <c r="D346" s="414">
        <f t="shared" si="38"/>
        <v>0.60281392651371579</v>
      </c>
      <c r="E346" s="617" t="e">
        <f>#REF!</f>
        <v>#REF!</v>
      </c>
      <c r="F346" s="34"/>
      <c r="G346">
        <v>7</v>
      </c>
      <c r="H346" s="246">
        <f t="shared" si="37"/>
        <v>1286.28</v>
      </c>
      <c r="I346" s="246"/>
    </row>
    <row r="347" spans="2:9" x14ac:dyDescent="0.25">
      <c r="B347" s="413" t="str">
        <f>Fluxo_de_Caixa_Janeiro[[#This Row],[Fluxo de Caixa 2026 CTR]]</f>
        <v>1.9 - CONTA PERDA/ROUBO/BONIFICAÇÃO E DOAÇÃO</v>
      </c>
      <c r="C347" s="62">
        <v>-20953.13</v>
      </c>
      <c r="D347" s="414">
        <f t="shared" si="38"/>
        <v>-2.3391481414085691</v>
      </c>
      <c r="E347" s="617" t="e">
        <f>#REF!</f>
        <v>#REF!</v>
      </c>
      <c r="F347" s="34"/>
      <c r="G347">
        <v>8</v>
      </c>
      <c r="H347" s="246">
        <f t="shared" si="37"/>
        <v>0</v>
      </c>
      <c r="I347" s="246"/>
    </row>
    <row r="348" spans="2:9" hidden="1" x14ac:dyDescent="0.25">
      <c r="B348" s="413">
        <f>Fluxo_de_Caixa_Janeiro[[#This Row],[Fluxo de Caixa 2026 CTR]]</f>
        <v>0</v>
      </c>
      <c r="C348" s="62"/>
      <c r="D348" s="414">
        <f t="shared" si="38"/>
        <v>0</v>
      </c>
      <c r="E348" s="617" t="e">
        <f>#REF!</f>
        <v>#REF!</v>
      </c>
      <c r="F348" s="34"/>
      <c r="G348">
        <v>12</v>
      </c>
      <c r="H348" s="246">
        <f t="shared" si="37"/>
        <v>0</v>
      </c>
      <c r="I348" s="246"/>
    </row>
    <row r="349" spans="2:9" x14ac:dyDescent="0.25">
      <c r="B349" s="413" t="str">
        <f>Fluxo_de_Caixa_Janeiro[[#This Row],[Fluxo de Caixa 2026 CTR]]</f>
        <v>2.1 - BANCO DO BRASIL C.C.60638-3 FILIAL PALMAS</v>
      </c>
      <c r="C349" s="62">
        <v>65.56</v>
      </c>
      <c r="D349" s="414">
        <f t="shared" si="38"/>
        <v>7.3189328826168592E-3</v>
      </c>
      <c r="E349" s="617" t="e">
        <f>#REF!</f>
        <v>#REF!</v>
      </c>
      <c r="F349" s="34"/>
      <c r="G349">
        <v>9</v>
      </c>
      <c r="H349" s="246">
        <f t="shared" si="37"/>
        <v>1829.48</v>
      </c>
      <c r="I349" s="246"/>
    </row>
    <row r="350" spans="2:9" hidden="1" x14ac:dyDescent="0.25">
      <c r="B350" s="413">
        <f>Fluxo_de_Caixa_Janeiro[[#This Row],[Fluxo de Caixa 2026 CTR]]</f>
        <v>0</v>
      </c>
      <c r="C350" s="62"/>
      <c r="D350" s="414">
        <f t="shared" si="38"/>
        <v>0</v>
      </c>
      <c r="E350" s="617" t="e">
        <f>#REF!</f>
        <v>#REF!</v>
      </c>
      <c r="F350" s="34"/>
      <c r="G350">
        <v>14</v>
      </c>
      <c r="H350" s="246">
        <f t="shared" si="37"/>
        <v>0</v>
      </c>
      <c r="I350" s="246"/>
    </row>
    <row r="351" spans="2:9" hidden="1" x14ac:dyDescent="0.25">
      <c r="B351" s="413">
        <f>Fluxo_de_Caixa_Janeiro[[#This Row],[Fluxo de Caixa 2026 CTR]]</f>
        <v>0</v>
      </c>
      <c r="C351" s="62"/>
      <c r="D351" s="414">
        <f t="shared" si="38"/>
        <v>0</v>
      </c>
      <c r="E351" s="617" t="e">
        <f>#REF!</f>
        <v>#REF!</v>
      </c>
      <c r="F351" s="34"/>
      <c r="G351">
        <v>15</v>
      </c>
      <c r="H351" s="246">
        <f t="shared" si="37"/>
        <v>0</v>
      </c>
      <c r="I351" s="246"/>
    </row>
    <row r="352" spans="2:9" x14ac:dyDescent="0.25">
      <c r="B352" s="413" t="str">
        <f>Fluxo_de_Caixa_Janeiro[[#This Row],[Fluxo de Caixa 2026 CTR]]</f>
        <v>2.4 - ITAU C.C.98669-0 FILIAL PALMAS</v>
      </c>
      <c r="C352" s="62">
        <v>37.729999999999997</v>
      </c>
      <c r="D352" s="414">
        <f t="shared" si="38"/>
        <v>4.2120704341234603E-3</v>
      </c>
      <c r="E352" s="337">
        <v>0</v>
      </c>
      <c r="F352" s="34"/>
      <c r="G352">
        <v>10</v>
      </c>
      <c r="H352" s="246">
        <f t="shared" si="37"/>
        <v>536.72</v>
      </c>
      <c r="I352" s="246"/>
    </row>
    <row r="353" spans="2:9" x14ac:dyDescent="0.25">
      <c r="B353" s="413" t="str">
        <f>Fluxo_de_Caixa_Janeiro[[#This Row],[Fluxo de Caixa 2026 CTR]]</f>
        <v>2.9 - CONTA PERDA/ROUBO E BONIFICAÇÃO FILIAL</v>
      </c>
      <c r="C353" s="62">
        <v>-8598.58</v>
      </c>
      <c r="D353" s="414">
        <f t="shared" si="38"/>
        <v>-0.95992113950292357</v>
      </c>
      <c r="E353" s="337">
        <v>0</v>
      </c>
      <c r="F353" s="34"/>
      <c r="G353">
        <v>11</v>
      </c>
      <c r="H353" s="246">
        <f t="shared" si="37"/>
        <v>-219.15</v>
      </c>
      <c r="I353" s="246"/>
    </row>
    <row r="354" spans="2:9" x14ac:dyDescent="0.25">
      <c r="B354" s="413" t="str">
        <f>Fluxo_de_Caixa_Janeiro[[#This Row],[Fluxo de Caixa 2026 CTR]]</f>
        <v>4.0 - TESOURARIA FILIAL PORTO</v>
      </c>
      <c r="C354" s="62">
        <v>1327.43</v>
      </c>
      <c r="D354" s="414">
        <f t="shared" si="38"/>
        <v>0.14819052892574888</v>
      </c>
      <c r="E354" s="337">
        <v>4.031448971430979E-3</v>
      </c>
      <c r="G354">
        <v>12</v>
      </c>
      <c r="H354" s="246">
        <f t="shared" si="37"/>
        <v>385.51</v>
      </c>
      <c r="I354" s="246">
        <f>Fluxo_de_Caixa_Janeiro3[[#This Row],[Fevereiro]]-H354</f>
        <v>941.92000000000007</v>
      </c>
    </row>
    <row r="355" spans="2:9" x14ac:dyDescent="0.25">
      <c r="B355" s="413" t="str">
        <f>Fluxo_de_Caixa_Janeiro[[#This Row],[Fluxo de Caixa 2026 CTR]]</f>
        <v>4.1 -  BANCO DO BRASIL C.C.61105-0 FILIAL PORTO</v>
      </c>
      <c r="C355" s="62">
        <v>111.93</v>
      </c>
      <c r="D355" s="414">
        <f t="shared" si="38"/>
        <v>1.2495548467835647E-2</v>
      </c>
      <c r="E355" s="617" t="e">
        <f>#REF!</f>
        <v>#REF!</v>
      </c>
      <c r="G355">
        <v>13</v>
      </c>
      <c r="H355" s="246">
        <f t="shared" si="37"/>
        <v>16.829999999999998</v>
      </c>
      <c r="I355" s="246"/>
    </row>
    <row r="356" spans="2:9" hidden="1" x14ac:dyDescent="0.25">
      <c r="B356" s="413">
        <f>Fluxo_de_Caixa_Janeiro[[#This Row],[Fluxo de Caixa 2026 CTR]]</f>
        <v>0</v>
      </c>
      <c r="C356" s="62"/>
      <c r="D356" s="414">
        <f t="shared" si="38"/>
        <v>0</v>
      </c>
      <c r="E356" s="337" t="e">
        <f>#REF!</f>
        <v>#REF!</v>
      </c>
      <c r="G356">
        <v>20</v>
      </c>
      <c r="H356" s="246">
        <f t="shared" si="37"/>
        <v>0</v>
      </c>
      <c r="I356" s="246"/>
    </row>
    <row r="357" spans="2:9" x14ac:dyDescent="0.25">
      <c r="B357" s="413" t="str">
        <f>Fluxo_de_Caixa_Janeiro[[#This Row],[Fluxo de Caixa 2026 CTR]]</f>
        <v>4.4 - MERCADO PAGO PIX FILIAL PORTO</v>
      </c>
      <c r="C357" s="62">
        <v>22539.57</v>
      </c>
      <c r="D357" s="414">
        <f t="shared" si="38"/>
        <v>2.5162538138048269</v>
      </c>
      <c r="E357" s="337" t="e">
        <f>#REF!</f>
        <v>#REF!</v>
      </c>
      <c r="G357">
        <v>14</v>
      </c>
      <c r="H357" s="246">
        <f t="shared" ref="H357:H358" si="39">C23</f>
        <v>2060.42</v>
      </c>
      <c r="I357" s="246"/>
    </row>
    <row r="358" spans="2:9" x14ac:dyDescent="0.25">
      <c r="B358" s="413" t="str">
        <f>Fluxo_de_Caixa_Janeiro[[#This Row],[Fluxo de Caixa 2026 CTR]]</f>
        <v>4.9 - CONTA PERDA/ROUBO E BONIFICAÇÃO FILIAL</v>
      </c>
      <c r="C358" s="62">
        <v>-29071.86</v>
      </c>
      <c r="D358" s="414">
        <f>IFERROR(C359/$C$336,"0,00%")</f>
        <v>0.21747478953602456</v>
      </c>
      <c r="E358" s="337" t="e">
        <f>#REF!</f>
        <v>#REF!</v>
      </c>
      <c r="G358">
        <v>15</v>
      </c>
      <c r="H358" s="246">
        <f t="shared" si="39"/>
        <v>0</v>
      </c>
      <c r="I358" s="246"/>
    </row>
    <row r="359" spans="2:9" x14ac:dyDescent="0.25">
      <c r="B359" s="413" t="str">
        <f>Fluxo_de_Caixa_Janeiro[[#This Row],[Fluxo de Caixa 2026 CTR]]</f>
        <v>91.CARTÃO ENDERED 5099+4596+6933+8072 - ESCRITORIO</v>
      </c>
      <c r="C359" s="62">
        <f>1100.92+327.81+206.99+312.33</f>
        <v>1948.05</v>
      </c>
      <c r="D359" s="414" t="str">
        <f>IFERROR(#REF!/$C$336,"0,00%")</f>
        <v>0,00%</v>
      </c>
      <c r="E359" s="337" t="e">
        <f>#REF!</f>
        <v>#REF!</v>
      </c>
      <c r="G359">
        <v>16</v>
      </c>
      <c r="H359" s="246">
        <f>C25</f>
        <v>1362.74</v>
      </c>
      <c r="I359" s="246"/>
    </row>
    <row r="360" spans="2:9" hidden="1" x14ac:dyDescent="0.25">
      <c r="B360" s="622">
        <f>Fluxo_de_Caixa_Janeiro[[#This Row],[Fluxo de Caixa 2026 CTR]]</f>
        <v>0</v>
      </c>
      <c r="C360" s="623"/>
      <c r="D360" s="414" t="str">
        <f>IFERROR(#REF!/$C$336,"0,00%")</f>
        <v>0,00%</v>
      </c>
      <c r="E360" s="624" t="e">
        <f>#REF!</f>
        <v>#REF!</v>
      </c>
      <c r="G360">
        <v>24</v>
      </c>
      <c r="I360" s="246"/>
    </row>
    <row r="361" spans="2:9" ht="24" thickBot="1" x14ac:dyDescent="0.4">
      <c r="B361" s="463"/>
      <c r="C361" s="464">
        <f>SUM(C337:C360)-C335</f>
        <v>180.01000000016575</v>
      </c>
      <c r="D361" s="465">
        <f>IFERROR(C361/C336,"0,00%")</f>
        <v>2.0095807019540477E-2</v>
      </c>
      <c r="E361" s="338" t="e">
        <f>#REF!</f>
        <v>#REF!</v>
      </c>
      <c r="I361" s="246">
        <f>I354+I337</f>
        <v>1238.97</v>
      </c>
    </row>
    <row r="362" spans="2:9" x14ac:dyDescent="0.25">
      <c r="I362" s="652">
        <f>H19-I361</f>
        <v>-1238.97</v>
      </c>
    </row>
    <row r="363" spans="2:9" x14ac:dyDescent="0.25"/>
    <row r="364" spans="2:9" x14ac:dyDescent="0.25">
      <c r="C364" s="637">
        <f>SUM(C337:C346,C349:C352,C354:C357,C359)</f>
        <v>67581.160000000018</v>
      </c>
    </row>
    <row r="365" spans="2:9" x14ac:dyDescent="0.25">
      <c r="C365" s="287"/>
    </row>
    <row r="366" spans="2:9" x14ac:dyDescent="0.25"/>
    <row r="367" spans="2:9" x14ac:dyDescent="0.25">
      <c r="C367" s="567"/>
    </row>
    <row r="368" spans="2:9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</sheetData>
  <protectedRanges>
    <protectedRange sqref="C3:C26" name="Intervalo1"/>
    <protectedRange sqref="C359:C360 C343:C357" name="Saldo Final de Banco_2"/>
    <protectedRange sqref="C337:C342" name="Saldo Final de Banco_1_1"/>
  </protectedRanges>
  <conditionalFormatting sqref="C86">
    <cfRule type="cellIs" dxfId="750" priority="1" operator="lessThan">
      <formula>0</formula>
    </cfRule>
  </conditionalFormatting>
  <conditionalFormatting sqref="C237">
    <cfRule type="cellIs" dxfId="749" priority="2" operator="greaterThan">
      <formula>0</formula>
    </cfRule>
    <cfRule type="cellIs" dxfId="748" priority="3" operator="lessThan">
      <formula>0</formula>
    </cfRule>
    <cfRule type="cellIs" dxfId="747" priority="4" operator="greaterThan">
      <formula>0</formula>
    </cfRule>
  </conditionalFormatting>
  <conditionalFormatting sqref="C334">
    <cfRule type="cellIs" dxfId="746" priority="5" operator="lessThan">
      <formula>0</formula>
    </cfRule>
    <cfRule type="cellIs" dxfId="745" priority="6" operator="greaterThan">
      <formula>0</formula>
    </cfRule>
  </conditionalFormatting>
  <conditionalFormatting sqref="C335">
    <cfRule type="cellIs" dxfId="744" priority="7" operator="lessThan">
      <formula>0</formula>
    </cfRule>
    <cfRule type="cellIs" dxfId="743" priority="8" operator="greaterThan">
      <formula>0.001</formula>
    </cfRule>
    <cfRule type="cellIs" dxfId="742" priority="9" operator="lessThan">
      <formula>0</formula>
    </cfRule>
    <cfRule type="cellIs" dxfId="741" priority="10" operator="greaterThan">
      <formula>0</formula>
    </cfRule>
    <cfRule type="aboveAverage" dxfId="740" priority="11" aboveAverage="0"/>
  </conditionalFormatting>
  <conditionalFormatting sqref="D86">
    <cfRule type="cellIs" dxfId="739" priority="29" operator="lessThan">
      <formula>0</formula>
    </cfRule>
  </conditionalFormatting>
  <conditionalFormatting sqref="D237 D334">
    <cfRule type="cellIs" dxfId="738" priority="36" operator="greaterThan">
      <formula>0</formula>
    </cfRule>
  </conditionalFormatting>
  <conditionalFormatting sqref="D237">
    <cfRule type="cellIs" dxfId="737" priority="32" operator="lessThan">
      <formula>0</formula>
    </cfRule>
    <cfRule type="cellIs" dxfId="736" priority="31" operator="greaterThan">
      <formula>0</formula>
    </cfRule>
  </conditionalFormatting>
  <conditionalFormatting sqref="D334">
    <cfRule type="cellIs" dxfId="735" priority="35" operator="lessThan">
      <formula>0</formula>
    </cfRule>
  </conditionalFormatting>
  <conditionalFormatting sqref="D335">
    <cfRule type="cellIs" dxfId="734" priority="34" operator="greaterThan">
      <formula>0</formula>
    </cfRule>
    <cfRule type="cellIs" dxfId="733" priority="33" operator="lessThan">
      <formula>0</formula>
    </cfRule>
    <cfRule type="cellIs" dxfId="732" priority="30" operator="greaterThan">
      <formula>0</formula>
    </cfRule>
    <cfRule type="aboveAverage" dxfId="731" priority="37" aboveAverage="0"/>
  </conditionalFormatting>
  <conditionalFormatting sqref="E86">
    <cfRule type="cellIs" dxfId="730" priority="20" operator="lessThan">
      <formula>0</formula>
    </cfRule>
  </conditionalFormatting>
  <conditionalFormatting sqref="E237 E334">
    <cfRule type="cellIs" dxfId="729" priority="27" operator="greaterThan">
      <formula>0</formula>
    </cfRule>
  </conditionalFormatting>
  <conditionalFormatting sqref="E237">
    <cfRule type="cellIs" dxfId="728" priority="23" operator="lessThan">
      <formula>0</formula>
    </cfRule>
    <cfRule type="cellIs" dxfId="727" priority="22" operator="greaterThan">
      <formula>0</formula>
    </cfRule>
  </conditionalFormatting>
  <conditionalFormatting sqref="E334">
    <cfRule type="cellIs" dxfId="726" priority="26" operator="lessThan">
      <formula>0</formula>
    </cfRule>
  </conditionalFormatting>
  <conditionalFormatting sqref="E335">
    <cfRule type="aboveAverage" dxfId="725" priority="28" aboveAverage="0"/>
    <cfRule type="cellIs" dxfId="724" priority="21" operator="greaterThan">
      <formula>0</formula>
    </cfRule>
    <cfRule type="cellIs" dxfId="723" priority="24" operator="lessThan">
      <formula>0</formula>
    </cfRule>
    <cfRule type="cellIs" dxfId="722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21" priority="101" operator="containsText" text="FALSO">
      <formula>NOT(ISERROR(SEARCH("FALSO",F27)))</formula>
    </cfRule>
    <cfRule type="containsText" dxfId="720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719" priority="40" operator="containsText" text="FALSO">
      <formula>NOT(ISERROR(SEARCH("FALSO",F28)))</formula>
    </cfRule>
    <cfRule type="containsText" dxfId="718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717" priority="17" operator="containsText" text="Verd">
      <formula>NOT(ISERROR(SEARCH("Verd",F29)))</formula>
    </cfRule>
    <cfRule type="containsText" dxfId="716" priority="16" operator="containsText" text="Fals">
      <formula>NOT(ISERROR(SEARCH("Fals",F29)))</formula>
    </cfRule>
  </conditionalFormatting>
  <conditionalFormatting sqref="F49:F86">
    <cfRule type="containsText" dxfId="715" priority="15" operator="containsText" text="Verd">
      <formula>NOT(ISERROR(SEARCH("Verd",F49)))</formula>
    </cfRule>
    <cfRule type="containsText" dxfId="714" priority="14" operator="containsText" text="Fals">
      <formula>NOT(ISERROR(SEARCH("Fals",F49)))</formula>
    </cfRule>
  </conditionalFormatting>
  <conditionalFormatting sqref="F88:F271">
    <cfRule type="containsText" dxfId="713" priority="19" operator="containsText" text="Verd">
      <formula>NOT(ISERROR(SEARCH("Verd",F88)))</formula>
    </cfRule>
    <cfRule type="containsText" dxfId="712" priority="18" operator="containsText" text="Fals">
      <formula>NOT(ISERROR(SEARCH("Fals",F88)))</formula>
    </cfRule>
  </conditionalFormatting>
  <conditionalFormatting sqref="F273:F330">
    <cfRule type="containsText" dxfId="711" priority="13" operator="containsText" text="Verd">
      <formula>NOT(ISERROR(SEARCH("Verd",F273)))</formula>
    </cfRule>
    <cfRule type="containsText" dxfId="710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autoPageBreaks="0" fitToPage="1"/>
  </sheetPr>
  <dimension ref="A1:HA412"/>
  <sheetViews>
    <sheetView zoomScaleNormal="100" zoomScaleSheetLayoutView="100" workbookViewId="0">
      <pane xSplit="2" ySplit="1" topLeftCell="C325" activePane="bottomRight" state="frozen"/>
      <selection pane="topRight" activeCell="B1" sqref="B1"/>
      <selection pane="bottomLeft" activeCell="A2" sqref="A2"/>
      <selection pane="bottomRight" activeCell="C3" sqref="C3:C25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140625" customWidth="1"/>
    <col min="8" max="8" width="24" style="246" bestFit="1" customWidth="1"/>
    <col min="9" max="9" width="21.710937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62</v>
      </c>
      <c r="D1" s="410" t="s">
        <v>306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8957.5900000000074</v>
      </c>
      <c r="D2" s="412">
        <f>SUM(D3:D26)</f>
        <v>0.99999999999999933</v>
      </c>
      <c r="E2" s="307"/>
      <c r="F2" s="31"/>
      <c r="H2" s="285"/>
      <c r="I2" s="285"/>
    </row>
    <row r="3" spans="1:10" x14ac:dyDescent="0.25">
      <c r="B3" s="621" t="str">
        <f>Fluxo_de_Caixa_Janeiro[[#This Row],[Fluxo de Caixa 2026 CTR]]</f>
        <v>1.0 - TESOURARIA MATRIZ PALMAS</v>
      </c>
      <c r="C3" s="62">
        <f>FEVEREIRO!C337</f>
        <v>337.58</v>
      </c>
      <c r="D3" s="414">
        <f>IF(C3=0,"0,00%",C3/$C$2)</f>
        <v>3.7686475938282477E-2</v>
      </c>
      <c r="E3" s="66"/>
      <c r="F3" s="31"/>
      <c r="G3">
        <v>1</v>
      </c>
      <c r="I3" s="246"/>
    </row>
    <row r="4" spans="1:10" x14ac:dyDescent="0.25">
      <c r="B4" s="621" t="str">
        <f>Fluxo_de_Caixa_Janeiro[[#This Row],[Fluxo de Caixa 2026 CTR]]</f>
        <v>1.1 - BANCO DO BRASIL C.C.60409-7 MATRIZ</v>
      </c>
      <c r="C4" s="62">
        <f>FEVEREIRO!C338</f>
        <v>55.77</v>
      </c>
      <c r="D4" s="414">
        <f t="shared" ref="D4:D13" si="0">IF(C4=0,"0,00%",C4/$C$2)</f>
        <v>6.2260049857160195E-3</v>
      </c>
      <c r="E4" s="617" t="e">
        <f>#REF!</f>
        <v>#REF!</v>
      </c>
      <c r="F4" s="31"/>
      <c r="G4">
        <v>2</v>
      </c>
      <c r="I4" s="246"/>
    </row>
    <row r="5" spans="1:10" hidden="1" x14ac:dyDescent="0.25">
      <c r="B5" s="621">
        <f>Fluxo_de_Caixa_Janeiro[[#This Row],[Fluxo de Caixa 2026 CTR]]</f>
        <v>0</v>
      </c>
      <c r="C5" s="62">
        <f>FEVEREIRO!C339</f>
        <v>0</v>
      </c>
      <c r="D5" s="414" t="str">
        <f t="shared" si="0"/>
        <v>0,00%</v>
      </c>
      <c r="E5" s="617" t="e">
        <f>#REF!</f>
        <v>#REF!</v>
      </c>
      <c r="F5" s="31"/>
      <c r="G5">
        <v>3</v>
      </c>
      <c r="I5" s="246"/>
    </row>
    <row r="6" spans="1:10" x14ac:dyDescent="0.25">
      <c r="B6" s="621" t="str">
        <f>Fluxo_de_Caixa_Janeiro[[#This Row],[Fluxo de Caixa 2026 CTR]]</f>
        <v>1.2-BRADESCO 15232-3 MATRIZ</v>
      </c>
      <c r="C6" s="62">
        <f>FEVEREIRO!C340</f>
        <v>25.97</v>
      </c>
      <c r="D6" s="414">
        <f t="shared" si="0"/>
        <v>2.8992173117992647E-3</v>
      </c>
      <c r="E6" s="617" t="e">
        <f>#REF!</f>
        <v>#REF!</v>
      </c>
      <c r="F6" s="31"/>
      <c r="G6">
        <v>3</v>
      </c>
      <c r="I6" s="246"/>
    </row>
    <row r="7" spans="1:10" hidden="1" x14ac:dyDescent="0.25">
      <c r="B7" s="621">
        <f>Fluxo_de_Caixa_Janeiro[[#This Row],[Fluxo de Caixa 2026 CTR]]</f>
        <v>0</v>
      </c>
      <c r="C7" s="62">
        <f>FEVEREIRO!C341</f>
        <v>0</v>
      </c>
      <c r="D7" s="414" t="str">
        <f t="shared" si="0"/>
        <v>0,00%</v>
      </c>
      <c r="E7" s="617" t="e">
        <f>#REF!</f>
        <v>#REF!</v>
      </c>
      <c r="F7" s="31"/>
      <c r="G7">
        <v>5</v>
      </c>
      <c r="I7" s="246"/>
    </row>
    <row r="8" spans="1:10" x14ac:dyDescent="0.25">
      <c r="B8" s="621" t="str">
        <f>Fluxo_de_Caixa_Janeiro[[#This Row],[Fluxo de Caixa 2026 CTR]]</f>
        <v>1.3 - BANCO STONE MATRIZ C.C 40256726-7</v>
      </c>
      <c r="C8" s="62">
        <f>FEVEREIRO!C342</f>
        <v>0</v>
      </c>
      <c r="D8" s="414" t="str">
        <f t="shared" si="0"/>
        <v>0,00%</v>
      </c>
      <c r="E8" s="617" t="e">
        <f>#REF!</f>
        <v>#REF!</v>
      </c>
      <c r="F8" s="31"/>
      <c r="G8">
        <v>4</v>
      </c>
      <c r="I8" s="246"/>
    </row>
    <row r="9" spans="1:10" x14ac:dyDescent="0.25">
      <c r="B9" s="621" t="str">
        <f>Fluxo_de_Caixa_Janeiro[[#This Row],[Fluxo de Caixa 2026 CTR]]</f>
        <v>1.4 - BANCO DA AMAZONIA 071730-7 MATRIZ</v>
      </c>
      <c r="C9" s="62">
        <f>FEVEREIRO!C343</f>
        <v>1900.51</v>
      </c>
      <c r="D9" s="414">
        <f t="shared" si="0"/>
        <v>0.21216755846159496</v>
      </c>
      <c r="E9" s="617" t="e">
        <f>#REF!</f>
        <v>#REF!</v>
      </c>
      <c r="F9" s="31"/>
      <c r="G9">
        <v>7</v>
      </c>
      <c r="I9" s="246"/>
    </row>
    <row r="10" spans="1:10" x14ac:dyDescent="0.25">
      <c r="B10" s="621" t="str">
        <f>Fluxo_de_Caixa_Janeiro[[#This Row],[Fluxo de Caixa 2026 CTR]]</f>
        <v>1.4.1.INVESTIMENTO CDBORE RCP TXFL</v>
      </c>
      <c r="C10" s="62">
        <f>FEVEREIRO!C344</f>
        <v>0</v>
      </c>
      <c r="D10" s="414" t="str">
        <f t="shared" si="0"/>
        <v>0,00%</v>
      </c>
      <c r="E10" s="617" t="e">
        <f>#REF!</f>
        <v>#REF!</v>
      </c>
      <c r="F10" s="31"/>
      <c r="G10">
        <v>5</v>
      </c>
      <c r="I10" s="246"/>
    </row>
    <row r="11" spans="1:10" x14ac:dyDescent="0.25">
      <c r="B11" s="621" t="str">
        <f>Fluxo_de_Caixa_Janeiro[[#This Row],[Fluxo de Caixa 2026 CTR]]</f>
        <v>1.5 -  ITAU C.C.98671-6 MATRIZ</v>
      </c>
      <c r="C11" s="62">
        <f>FEVEREIRO!C345</f>
        <v>33831.300000000003</v>
      </c>
      <c r="D11" s="414">
        <f t="shared" si="0"/>
        <v>3.7768305984087212</v>
      </c>
      <c r="E11" s="617" t="e">
        <f>#REF!</f>
        <v>#REF!</v>
      </c>
      <c r="F11" s="31"/>
      <c r="G11">
        <v>6</v>
      </c>
      <c r="I11" s="246"/>
    </row>
    <row r="12" spans="1:10" x14ac:dyDescent="0.25">
      <c r="B12" s="621" t="str">
        <f>Fluxo_de_Caixa_Janeiro[[#This Row],[Fluxo de Caixa 2026 CTR]]</f>
        <v>1.5.03. ITAU C.C 83290-2 GARANTIDA</v>
      </c>
      <c r="C12" s="62">
        <f>FEVEREIRO!C346</f>
        <v>5399.76</v>
      </c>
      <c r="D12" s="414">
        <f t="shared" si="0"/>
        <v>0.60281392651371579</v>
      </c>
      <c r="E12" s="617" t="e">
        <f>#REF!</f>
        <v>#REF!</v>
      </c>
      <c r="F12" s="31"/>
      <c r="G12">
        <v>7</v>
      </c>
      <c r="I12" s="246"/>
    </row>
    <row r="13" spans="1:10" x14ac:dyDescent="0.25">
      <c r="B13" s="621" t="str">
        <f>Fluxo_de_Caixa_Janeiro[[#This Row],[Fluxo de Caixa 2026 CTR]]</f>
        <v>1.9 - CONTA PERDA/ROUBO/BONIFICAÇÃO E DOAÇÃO</v>
      </c>
      <c r="C13" s="62">
        <f>FEVEREIRO!C347</f>
        <v>-20953.13</v>
      </c>
      <c r="D13" s="414">
        <f t="shared" si="0"/>
        <v>-2.3391481414085691</v>
      </c>
      <c r="E13" s="66"/>
      <c r="F13" s="31"/>
      <c r="G13">
        <v>8</v>
      </c>
      <c r="I13" s="246"/>
    </row>
    <row r="14" spans="1:10" hidden="1" x14ac:dyDescent="0.25">
      <c r="B14" s="621">
        <f>Fluxo_de_Caixa_Janeiro[[#This Row],[Fluxo de Caixa 2026 CTR]]</f>
        <v>0</v>
      </c>
      <c r="C14" s="62">
        <f>FEVEREIRO!C348</f>
        <v>0</v>
      </c>
      <c r="D14" s="414" t="str">
        <f t="shared" ref="D14:D26" si="1">IF(C14=0,"0,00%",C14/$C$2)</f>
        <v>0,00%</v>
      </c>
      <c r="E14" s="66"/>
      <c r="F14" s="31"/>
      <c r="G14">
        <v>12</v>
      </c>
      <c r="I14" s="246"/>
    </row>
    <row r="15" spans="1:10" x14ac:dyDescent="0.25">
      <c r="B15" s="621" t="str">
        <f>Fluxo_de_Caixa_Janeiro[[#This Row],[Fluxo de Caixa 2026 CTR]]</f>
        <v>2.1 - BANCO DO BRASIL C.C.60638-3 FILIAL PALMAS</v>
      </c>
      <c r="C15" s="62">
        <f>FEVEREIRO!C349</f>
        <v>65.56</v>
      </c>
      <c r="D15" s="414">
        <f t="shared" si="1"/>
        <v>7.3189328826168592E-3</v>
      </c>
      <c r="E15" s="66"/>
      <c r="F15" s="31"/>
      <c r="G15">
        <v>9</v>
      </c>
      <c r="I15" s="246"/>
    </row>
    <row r="16" spans="1:10" hidden="1" x14ac:dyDescent="0.25">
      <c r="B16" s="621">
        <f>Fluxo_de_Caixa_Janeiro[[#This Row],[Fluxo de Caixa 2026 CTR]]</f>
        <v>0</v>
      </c>
      <c r="C16" s="62">
        <f>FEVEREIRO!C350</f>
        <v>0</v>
      </c>
      <c r="D16" s="414" t="str">
        <f t="shared" si="1"/>
        <v>0,00%</v>
      </c>
      <c r="E16" s="66"/>
      <c r="F16" s="31"/>
      <c r="G16">
        <v>14</v>
      </c>
      <c r="I16" s="246"/>
    </row>
    <row r="17" spans="1:10" hidden="1" x14ac:dyDescent="0.25">
      <c r="B17" s="621">
        <f>Fluxo_de_Caixa_Janeiro[[#This Row],[Fluxo de Caixa 2026 CTR]]</f>
        <v>0</v>
      </c>
      <c r="C17" s="62">
        <f>FEVEREIRO!C351</f>
        <v>0</v>
      </c>
      <c r="D17" s="414" t="str">
        <f t="shared" si="1"/>
        <v>0,00%</v>
      </c>
      <c r="E17" s="66"/>
      <c r="F17" s="31"/>
      <c r="G17">
        <v>15</v>
      </c>
      <c r="I17" s="246"/>
    </row>
    <row r="18" spans="1:10" x14ac:dyDescent="0.25">
      <c r="B18" s="621" t="str">
        <f>Fluxo_de_Caixa_Janeiro[[#This Row],[Fluxo de Caixa 2026 CTR]]</f>
        <v>2.4 - ITAU C.C.98669-0 FILIAL PALMAS</v>
      </c>
      <c r="C18" s="62">
        <f>FEVEREIRO!C352</f>
        <v>37.729999999999997</v>
      </c>
      <c r="D18" s="414">
        <f t="shared" si="1"/>
        <v>4.2120704341234603E-3</v>
      </c>
      <c r="E18" s="66"/>
      <c r="F18" s="31"/>
      <c r="G18">
        <v>10</v>
      </c>
      <c r="I18" s="246"/>
    </row>
    <row r="19" spans="1:10" x14ac:dyDescent="0.25">
      <c r="B19" s="621" t="str">
        <f>Fluxo_de_Caixa_Janeiro[[#This Row],[Fluxo de Caixa 2026 CTR]]</f>
        <v>2.9 - CONTA PERDA/ROUBO E BONIFICAÇÃO FILIAL</v>
      </c>
      <c r="C19" s="62">
        <f>FEVEREIRO!C353</f>
        <v>-8598.58</v>
      </c>
      <c r="D19" s="414">
        <f t="shared" si="1"/>
        <v>-0.95992113950292357</v>
      </c>
      <c r="E19" s="66"/>
      <c r="F19" s="31"/>
      <c r="G19">
        <v>11</v>
      </c>
      <c r="I19" s="246"/>
    </row>
    <row r="20" spans="1:10" x14ac:dyDescent="0.25">
      <c r="B20" s="621" t="str">
        <f>Fluxo_de_Caixa_Janeiro[[#This Row],[Fluxo de Caixa 2026 CTR]]</f>
        <v>4.0 - TESOURARIA FILIAL PORTO</v>
      </c>
      <c r="C20" s="62">
        <f>FEVEREIRO!C354</f>
        <v>1327.43</v>
      </c>
      <c r="D20" s="414">
        <f t="shared" si="1"/>
        <v>0.14819052892574888</v>
      </c>
      <c r="E20" s="66"/>
      <c r="F20" s="31"/>
      <c r="G20">
        <v>12</v>
      </c>
      <c r="I20" s="246"/>
    </row>
    <row r="21" spans="1:10" x14ac:dyDescent="0.25">
      <c r="B21" s="621" t="str">
        <f>Fluxo_de_Caixa_Janeiro[[#This Row],[Fluxo de Caixa 2026 CTR]]</f>
        <v>4.1 -  BANCO DO BRASIL C.C.61105-0 FILIAL PORTO</v>
      </c>
      <c r="C21" s="62">
        <f>FEVEREIRO!C355</f>
        <v>111.93</v>
      </c>
      <c r="D21" s="414">
        <f t="shared" si="1"/>
        <v>1.2495548467835647E-2</v>
      </c>
      <c r="E21" s="66"/>
      <c r="F21" s="31"/>
      <c r="G21">
        <v>13</v>
      </c>
      <c r="I21" s="246"/>
    </row>
    <row r="22" spans="1:10" hidden="1" x14ac:dyDescent="0.25">
      <c r="B22" s="621">
        <f>Fluxo_de_Caixa_Janeiro[[#This Row],[Fluxo de Caixa 2026 CTR]]</f>
        <v>0</v>
      </c>
      <c r="C22" s="62">
        <f>FEVEREIRO!C356</f>
        <v>0</v>
      </c>
      <c r="D22" s="414" t="str">
        <f t="shared" si="1"/>
        <v>0,00%</v>
      </c>
      <c r="E22" s="66"/>
      <c r="F22" s="31"/>
      <c r="G22">
        <v>20</v>
      </c>
      <c r="I22" s="246"/>
    </row>
    <row r="23" spans="1:10" x14ac:dyDescent="0.25">
      <c r="B23" s="621" t="str">
        <f>Fluxo_de_Caixa_Janeiro[[#This Row],[Fluxo de Caixa 2026 CTR]]</f>
        <v>4.4 - MERCADO PAGO PIX FILIAL PORTO</v>
      </c>
      <c r="C23" s="62">
        <f>FEVEREIRO!C357</f>
        <v>22539.57</v>
      </c>
      <c r="D23" s="414">
        <f t="shared" si="1"/>
        <v>2.5162538138048269</v>
      </c>
      <c r="E23" s="66"/>
      <c r="F23" s="31"/>
      <c r="G23">
        <v>14</v>
      </c>
      <c r="I23" s="246"/>
    </row>
    <row r="24" spans="1:10" x14ac:dyDescent="0.25">
      <c r="B24" s="621" t="str">
        <f>Fluxo_de_Caixa_Janeiro[[#This Row],[Fluxo de Caixa 2026 CTR]]</f>
        <v>4.9 - CONTA PERDA/ROUBO E BONIFICAÇÃO FILIAL</v>
      </c>
      <c r="C24" s="62">
        <f>FEVEREIRO!C358</f>
        <v>-29071.86</v>
      </c>
      <c r="D24" s="414">
        <f t="shared" si="1"/>
        <v>-3.2455001847595142</v>
      </c>
      <c r="E24" s="66"/>
      <c r="F24" s="31"/>
      <c r="G24">
        <v>15</v>
      </c>
      <c r="I24" s="246"/>
    </row>
    <row r="25" spans="1:10" x14ac:dyDescent="0.25">
      <c r="B25" s="621" t="str">
        <f>Fluxo_de_Caixa_Janeiro[[#This Row],[Fluxo de Caixa 2026 CTR]]</f>
        <v>91.CARTÃO ENDERED 5099+4596+6933+8072 - ESCRITORIO</v>
      </c>
      <c r="C25" s="62">
        <f>FEVEREIRO!C359</f>
        <v>1948.05</v>
      </c>
      <c r="D25" s="414">
        <f t="shared" si="1"/>
        <v>0.21747478953602456</v>
      </c>
      <c r="E25" s="66"/>
      <c r="F25" s="31"/>
      <c r="G25">
        <v>16</v>
      </c>
      <c r="I25" s="246"/>
    </row>
    <row r="26" spans="1:10" ht="15.75" hidden="1" thickBot="1" x14ac:dyDescent="0.3">
      <c r="B26" s="621">
        <f>Fluxo_de_Caixa_Janeiro[[#This Row],[Fluxo de Caixa 2026 CTR]]</f>
        <v>0</v>
      </c>
      <c r="C26" s="62">
        <f>FEVEREIRO!C360</f>
        <v>0</v>
      </c>
      <c r="D26" s="414" t="str">
        <f t="shared" si="1"/>
        <v>0,00%</v>
      </c>
      <c r="E26" s="67"/>
      <c r="F26" s="31"/>
      <c r="G26">
        <v>24</v>
      </c>
      <c r="I26" s="246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1087749.99</v>
      </c>
      <c r="D27" s="416">
        <f>IFERROR(C27/C332,"")</f>
        <v>0.56707333866890575</v>
      </c>
      <c r="E27" s="308">
        <v>0.88526119449158447</v>
      </c>
      <c r="F27" s="32"/>
      <c r="H27" s="246">
        <f>H28+I28</f>
        <v>516141.03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1087749.99</v>
      </c>
      <c r="D28" s="418">
        <f>SUM(D29:D47)</f>
        <v>0.56707333866890564</v>
      </c>
      <c r="E28" s="309">
        <v>0.88251932897796925</v>
      </c>
      <c r="F28" s="32"/>
      <c r="H28" s="570">
        <f>SUM(H29:H36)</f>
        <v>47356.86</v>
      </c>
      <c r="I28" s="570">
        <f>SUM(I29:I36)</f>
        <v>468784.17000000004</v>
      </c>
      <c r="J28" s="570">
        <f>SUM(J29:J36)</f>
        <v>571608.96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2754.35</v>
      </c>
      <c r="D29" s="420">
        <f t="shared" ref="D29:D47" si="2">IF(C29=0,"0,00%",C29/$C$332)</f>
        <v>1.4359167683032574E-3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H29" s="246">
        <v>0</v>
      </c>
      <c r="I29" s="246">
        <v>2262.35</v>
      </c>
      <c r="J29" s="246">
        <v>492</v>
      </c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3">H30+I30+J30</f>
        <v>110371.16999999998</v>
      </c>
      <c r="D30" s="420">
        <f t="shared" si="2"/>
        <v>5.75394607585272E-2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H30" s="246">
        <v>22.79</v>
      </c>
      <c r="I30" s="246">
        <v>41662.339999999997</v>
      </c>
      <c r="J30" s="246">
        <v>68686.039999999994</v>
      </c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3"/>
        <v>0</v>
      </c>
      <c r="D31" s="420" t="str">
        <f t="shared" si="2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H31" s="246">
        <v>0</v>
      </c>
      <c r="I31" s="246">
        <v>0</v>
      </c>
      <c r="J31" s="246">
        <v>0</v>
      </c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3"/>
        <v>0</v>
      </c>
      <c r="D32" s="420" t="str">
        <f t="shared" si="2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H32" s="246">
        <v>0</v>
      </c>
      <c r="I32" s="246">
        <v>0</v>
      </c>
      <c r="J32" s="246">
        <v>0</v>
      </c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3"/>
        <v>190040.35</v>
      </c>
      <c r="D33" s="420">
        <f t="shared" si="2"/>
        <v>9.907314800922902E-2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G33" s="404">
        <f>C361</f>
        <v>220.65999999997439</v>
      </c>
      <c r="H33" s="246">
        <v>0</v>
      </c>
      <c r="I33" s="246">
        <v>158995.12</v>
      </c>
      <c r="J33" s="246">
        <v>31045.23</v>
      </c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3"/>
        <v>395244.86</v>
      </c>
      <c r="D34" s="420">
        <f t="shared" si="2"/>
        <v>0.20605178065956517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H34" s="246">
        <v>46254.07</v>
      </c>
      <c r="I34" s="246">
        <v>122115.09</v>
      </c>
      <c r="J34" s="246">
        <v>226875.7</v>
      </c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3"/>
        <v>389339.26</v>
      </c>
      <c r="D35" s="420">
        <f t="shared" si="2"/>
        <v>0.20297303247328105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H35" s="246">
        <v>1080</v>
      </c>
      <c r="I35" s="246">
        <f>143749.27</f>
        <v>143749.26999999999</v>
      </c>
      <c r="J35" s="246">
        <v>244509.99</v>
      </c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3"/>
        <v>0</v>
      </c>
      <c r="D36" s="420" t="str">
        <f t="shared" si="2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2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2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2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2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2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2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25">
      <c r="B43" s="421">
        <f>Fluxo_de_Caixa_Janeiro[[#This Row],[Fluxo de Caixa 2026 CTR]]</f>
        <v>0</v>
      </c>
      <c r="C43" s="62"/>
      <c r="D43" s="420" t="str">
        <f t="shared" si="2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2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2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2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2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-456490.45000000007</v>
      </c>
      <c r="D52" s="424">
        <f>-IFERROR(C52/$C$27,"0,00")</f>
        <v>0.41966486251128354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-434948.80000000005</v>
      </c>
      <c r="I52" s="570">
        <f>-SUBTOTAL(109,I53:I59)</f>
        <v>-21541.65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449846.92000000004</v>
      </c>
      <c r="D53" s="426">
        <f>IFERROR(C53/$C$27,"0,00%")</f>
        <v>0.41355727339514847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H53" s="246">
        <v>428385.27</v>
      </c>
      <c r="I53" s="246">
        <v>21461.65</v>
      </c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4">H54+I54+J54</f>
        <v>0</v>
      </c>
      <c r="D54" s="426">
        <f t="shared" ref="D54:D59" si="5">IFERROR(C54/$C$27,"0,00%")</f>
        <v>0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6643.53</v>
      </c>
      <c r="D55" s="426">
        <f t="shared" si="5"/>
        <v>6.1075891161350409E-3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H55" s="246">
        <v>6563.53</v>
      </c>
      <c r="I55" s="246">
        <v>80</v>
      </c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4"/>
        <v>0</v>
      </c>
      <c r="D56" s="426">
        <f t="shared" si="5"/>
        <v>0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4"/>
        <v>0</v>
      </c>
      <c r="D57" s="426">
        <f t="shared" si="5"/>
        <v>0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25">
      <c r="B58" s="425">
        <f>Fluxo_de_Caixa_Janeiro[[#This Row],[Fluxo de Caixa 2026 CTR]]</f>
        <v>0</v>
      </c>
      <c r="C58" s="62"/>
      <c r="D58" s="426">
        <f t="shared" si="5"/>
        <v>0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>
        <f t="shared" si="5"/>
        <v>0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>
        <f t="shared" ref="D61:D69" si="6">IFERROR(C61/$C$27,"0,00%")</f>
        <v>0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7">H62+I62+J62</f>
        <v>0</v>
      </c>
      <c r="D62" s="426">
        <f t="shared" si="6"/>
        <v>0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7"/>
        <v>0</v>
      </c>
      <c r="D63" s="426">
        <f t="shared" si="6"/>
        <v>0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7"/>
        <v>0</v>
      </c>
      <c r="D64" s="426">
        <f t="shared" si="6"/>
        <v>0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7"/>
        <v>0</v>
      </c>
      <c r="D65" s="426">
        <f t="shared" si="6"/>
        <v>0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25">
      <c r="B66" s="425">
        <f>Fluxo_de_Caixa_Janeiro[[#This Row],[Fluxo de Caixa 2026 CTR]]</f>
        <v>0</v>
      </c>
      <c r="C66" s="62">
        <f t="shared" si="7"/>
        <v>0</v>
      </c>
      <c r="D66" s="426">
        <f t="shared" si="6"/>
        <v>0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25">
      <c r="B67" s="425">
        <f>Fluxo_de_Caixa_Janeiro[[#This Row],[Fluxo de Caixa 2026 CTR]]</f>
        <v>0</v>
      </c>
      <c r="C67" s="62">
        <f t="shared" si="7"/>
        <v>0</v>
      </c>
      <c r="D67" s="426">
        <f t="shared" si="6"/>
        <v>0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25">
      <c r="B68" s="425">
        <f>Fluxo_de_Caixa_Janeiro[[#This Row],[Fluxo de Caixa 2026 CTR]]</f>
        <v>0</v>
      </c>
      <c r="C68" s="62">
        <f t="shared" si="7"/>
        <v>0</v>
      </c>
      <c r="D68" s="426">
        <f t="shared" si="6"/>
        <v>0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7"/>
        <v>0</v>
      </c>
      <c r="D69" s="426">
        <f t="shared" si="6"/>
        <v>0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-73559.849999999991</v>
      </c>
      <c r="D70" s="427">
        <f>-IFERROR(C70/$C$27,"0,00")</f>
        <v>6.762569586417555E-2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-40855.68</v>
      </c>
      <c r="I70" s="570">
        <f>-SUBTOTAL(109,I71:I84)</f>
        <v>-23183.71</v>
      </c>
      <c r="J70" s="570">
        <f>-SUBTOTAL(109,J71:J84)</f>
        <v>-9520.4599999999991</v>
      </c>
    </row>
    <row r="71" spans="1:10" hidden="1" x14ac:dyDescent="0.25">
      <c r="B71" s="428">
        <f>Fluxo_de_Caixa_Janeiro[[#This Row],[Fluxo de Caixa 2026 CTR]]</f>
        <v>0</v>
      </c>
      <c r="C71" s="62"/>
      <c r="D71" s="426">
        <f t="shared" ref="D71:D84" si="8">IFERROR(C71/$C$27,"0,00%")</f>
        <v>0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>
        <f t="shared" si="8"/>
        <v>0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>
        <v>0</v>
      </c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9">H73+I73+J73</f>
        <v>0</v>
      </c>
      <c r="D73" s="426">
        <f t="shared" si="8"/>
        <v>0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>
        <v>0</v>
      </c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9"/>
        <v>0</v>
      </c>
      <c r="D74" s="426">
        <f t="shared" si="8"/>
        <v>0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>
        <v>0</v>
      </c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9"/>
        <v>0</v>
      </c>
      <c r="D75" s="426">
        <f t="shared" si="8"/>
        <v>0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>
        <v>0</v>
      </c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9"/>
        <v>43499.63</v>
      </c>
      <c r="D76" s="426">
        <f t="shared" si="8"/>
        <v>3.9990466927055546E-2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>
        <v>11456.54</v>
      </c>
      <c r="I76" s="284">
        <v>23183.71</v>
      </c>
      <c r="J76" s="284">
        <v>8859.3799999999992</v>
      </c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9"/>
        <v>14279.93</v>
      </c>
      <c r="D77" s="426">
        <f t="shared" si="8"/>
        <v>1.3127952315586784E-2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>
        <v>14279.93</v>
      </c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9"/>
        <v>0</v>
      </c>
      <c r="D78" s="426">
        <f t="shared" si="8"/>
        <v>0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9"/>
        <v>163.41999999999999</v>
      </c>
      <c r="D79" s="426">
        <f t="shared" si="8"/>
        <v>1.5023672857032155E-4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>
        <v>163.41999999999999</v>
      </c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9"/>
        <v>0</v>
      </c>
      <c r="D80" s="426">
        <f t="shared" si="8"/>
        <v>0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9"/>
        <v>0</v>
      </c>
      <c r="D81" s="426">
        <f t="shared" si="8"/>
        <v>0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9"/>
        <v>15616.87</v>
      </c>
      <c r="D82" s="426">
        <f t="shared" si="8"/>
        <v>1.4357039892962905E-2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>
        <v>14955.79</v>
      </c>
      <c r="I82" s="284"/>
      <c r="J82" s="284">
        <v>661.08</v>
      </c>
    </row>
    <row r="83" spans="1:10" hidden="1" x14ac:dyDescent="0.25">
      <c r="B83" s="428">
        <f>Fluxo_de_Caixa_Janeiro[[#This Row],[Fluxo de Caixa 2026 CTR]]</f>
        <v>0</v>
      </c>
      <c r="C83" s="62"/>
      <c r="D83" s="426">
        <f t="shared" si="8"/>
        <v>0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>
        <f t="shared" si="8"/>
        <v>0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-530050.30000000005</v>
      </c>
      <c r="D85" s="430">
        <f>IFERROR(C85/C27,"0,00%")</f>
        <v>-0.48729055837545909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-475804.48</v>
      </c>
      <c r="I85" s="570">
        <f>-SUBTOTAL(109,I52:I84)</f>
        <v>-44725.36</v>
      </c>
      <c r="J85" s="570">
        <f>-SUBTOTAL(109,J52:J84)</f>
        <v>-9520.4599999999991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557699.68999999994</v>
      </c>
      <c r="D86" s="432">
        <f>IFERROR(C86/C27,"0,00%")</f>
        <v>0.51270944162454091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-50419.469999999994</v>
      </c>
      <c r="D88" s="436">
        <f>-IFERROR(C88/$C$27,"0,00")</f>
        <v>4.6352075811096995E-2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-46621.159999999996</v>
      </c>
      <c r="I88" s="570">
        <f>-SUBTOTAL(109,I89:I99)</f>
        <v>-2450.21</v>
      </c>
      <c r="J88" s="570">
        <f>-SUBTOTAL(109,J89:J99)</f>
        <v>-1348.1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2535</v>
      </c>
      <c r="D89" s="438">
        <f>IFERROR(C89/$C$27,"0,00%")</f>
        <v>2.3304987573477248E-3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H89" s="246">
        <v>2535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8" si="10">H90+I90+J90</f>
        <v>0</v>
      </c>
      <c r="D90" s="438">
        <f t="shared" ref="D90:D99" si="11">IFERROR(C90/$C$27,"0,00%")</f>
        <v>0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10"/>
        <v>303.29000000000002</v>
      </c>
      <c r="D91" s="438">
        <f t="shared" si="11"/>
        <v>2.7882326158421754E-4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H91" s="246">
        <v>303.29000000000002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>
        <f t="shared" si="11"/>
        <v>0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10"/>
        <v>34661.589999999997</v>
      </c>
      <c r="D93" s="438">
        <f t="shared" si="11"/>
        <v>3.1865401350176063E-2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H93" s="246">
        <v>34661.589999999997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10"/>
        <v>5007.88</v>
      </c>
      <c r="D94" s="438">
        <f t="shared" si="11"/>
        <v>4.6038888035292011E-3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H94" s="246">
        <v>4662.99</v>
      </c>
      <c r="I94" s="246">
        <v>30</v>
      </c>
      <c r="J94" s="246">
        <v>314.89</v>
      </c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10"/>
        <v>7791.25</v>
      </c>
      <c r="D95" s="438">
        <f t="shared" si="11"/>
        <v>7.1627212793631007E-3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H95" s="246">
        <v>4337.83</v>
      </c>
      <c r="I95" s="246">
        <v>2420.21</v>
      </c>
      <c r="J95" s="246">
        <v>1033.21</v>
      </c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>
        <f t="shared" si="11"/>
        <v>0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>
        <f t="shared" si="11"/>
        <v>0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>
        <f t="shared" si="10"/>
        <v>120.46</v>
      </c>
      <c r="D98" s="438">
        <f t="shared" si="11"/>
        <v>1.1074235909668912E-4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H98" s="246">
        <v>120.46</v>
      </c>
      <c r="I98" s="246"/>
      <c r="J98" s="246"/>
    </row>
    <row r="99" spans="1:10" hidden="1" x14ac:dyDescent="0.25">
      <c r="B99" s="437">
        <f>Fluxo_de_Caixa_Janeiro[[#This Row],[Fluxo de Caixa 2026 CTR]]</f>
        <v>0</v>
      </c>
      <c r="C99" s="62"/>
      <c r="D99" s="438">
        <f t="shared" si="11"/>
        <v>0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-99956.93</v>
      </c>
      <c r="D100" s="436">
        <f>-IFERROR(C100/$C$27,"0,00")</f>
        <v>9.18932943405497E-2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-98490.38</v>
      </c>
      <c r="I100" s="570">
        <f>-SUBTOTAL(109,I101:I130)</f>
        <v>-1466.55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33411.65</v>
      </c>
      <c r="D101" s="438">
        <f t="shared" ref="D101:D130" si="12">IFERROR(C101/$C$27,"0,00%")</f>
        <v>3.0716295386957439E-2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H101" s="246">
        <v>33411.65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3">H102+I102+J102</f>
        <v>1450</v>
      </c>
      <c r="D102" s="438">
        <f t="shared" si="12"/>
        <v>1.3330269026249314E-3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H102" s="246">
        <v>1450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3"/>
        <v>1920.1299999999999</v>
      </c>
      <c r="D103" s="438">
        <f t="shared" si="12"/>
        <v>1.7652309976118683E-3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H103" s="246">
        <v>1455.54</v>
      </c>
      <c r="I103" s="246">
        <v>464.59</v>
      </c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3"/>
        <v>0</v>
      </c>
      <c r="D104" s="438">
        <f t="shared" si="12"/>
        <v>0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3"/>
        <v>445.17</v>
      </c>
      <c r="D105" s="438">
        <f t="shared" si="12"/>
        <v>4.0925764568382119E-4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H105" s="246">
        <v>445.17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3"/>
        <v>2053.42</v>
      </c>
      <c r="D106" s="438">
        <f t="shared" si="12"/>
        <v>1.8877683464745424E-3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H106" s="246">
        <v>2053.42</v>
      </c>
      <c r="I106" s="246"/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3"/>
        <v>1723.96</v>
      </c>
      <c r="D107" s="438">
        <f t="shared" si="12"/>
        <v>1.5848862476201908E-3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H107" s="246">
        <v>980</v>
      </c>
      <c r="I107" s="246">
        <v>743.96</v>
      </c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3"/>
        <v>6500</v>
      </c>
      <c r="D108" s="438">
        <f t="shared" si="12"/>
        <v>5.9756378393531406E-3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H108" s="246">
        <v>6500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3"/>
        <v>0</v>
      </c>
      <c r="D109" s="438">
        <f t="shared" si="12"/>
        <v>0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3"/>
        <v>0</v>
      </c>
      <c r="D110" s="438">
        <f t="shared" si="12"/>
        <v>0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3"/>
        <v>0</v>
      </c>
      <c r="D111" s="438">
        <f t="shared" si="12"/>
        <v>0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3"/>
        <v>400</v>
      </c>
      <c r="D112" s="438">
        <f t="shared" si="12"/>
        <v>3.6773155934480864E-4</v>
      </c>
      <c r="E112" s="317">
        <v>3.00036758032117</v>
      </c>
      <c r="F112"/>
      <c r="H112" s="246">
        <v>400</v>
      </c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3"/>
        <v>3924.18</v>
      </c>
      <c r="D113" s="438">
        <f t="shared" si="12"/>
        <v>3.6076120763742776E-3</v>
      </c>
      <c r="E113" s="317">
        <v>4.0003675803211696</v>
      </c>
      <c r="F113"/>
      <c r="H113" s="246">
        <v>3924.18</v>
      </c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3"/>
        <v>11292.06</v>
      </c>
      <c r="D114" s="438">
        <f t="shared" si="12"/>
        <v>1.0381117080037848E-2</v>
      </c>
      <c r="E114" s="317">
        <v>5.0003675803211696</v>
      </c>
      <c r="F114"/>
      <c r="H114" s="284">
        <v>11292.06</v>
      </c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3"/>
        <v>220</v>
      </c>
      <c r="D115" s="438">
        <f t="shared" si="12"/>
        <v>2.0225235763964475E-4</v>
      </c>
      <c r="E115" s="317">
        <v>6.0003675803211696</v>
      </c>
      <c r="F115"/>
      <c r="H115" s="246">
        <v>132</v>
      </c>
      <c r="I115" s="246">
        <v>88</v>
      </c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3"/>
        <v>22337.95</v>
      </c>
      <c r="D116" s="438">
        <f t="shared" si="12"/>
        <v>2.0535922965165921E-2</v>
      </c>
      <c r="E116" s="317">
        <v>7.0003675803211696</v>
      </c>
      <c r="F116"/>
      <c r="H116" s="246">
        <v>22337.95</v>
      </c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3"/>
        <v>920</v>
      </c>
      <c r="D117" s="438">
        <f t="shared" si="12"/>
        <v>8.4578258649305985E-4</v>
      </c>
      <c r="E117" s="317">
        <v>8.0003675803211696</v>
      </c>
      <c r="F117"/>
      <c r="H117" s="246">
        <v>920</v>
      </c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3"/>
        <v>290</v>
      </c>
      <c r="D118" s="438">
        <f>IFERROR(C118/$C$27,"0,00%")</f>
        <v>2.6660538052498625E-4</v>
      </c>
      <c r="E118" s="317">
        <v>9.0003675803211696</v>
      </c>
      <c r="F118"/>
      <c r="H118" s="246">
        <v>120</v>
      </c>
      <c r="I118" s="246">
        <v>170</v>
      </c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3"/>
        <v>0</v>
      </c>
      <c r="D119" s="438">
        <f t="shared" si="12"/>
        <v>0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3"/>
        <v>11195.5</v>
      </c>
      <c r="D120" s="438">
        <f t="shared" si="12"/>
        <v>1.0292346681612012E-2</v>
      </c>
      <c r="E120" s="317" t="e">
        <f>#REF!</f>
        <v>#REF!</v>
      </c>
      <c r="F120"/>
      <c r="H120" s="246">
        <v>11195.5</v>
      </c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3"/>
        <v>1118</v>
      </c>
      <c r="D121" s="438">
        <f t="shared" si="12"/>
        <v>1.0278097083687402E-3</v>
      </c>
      <c r="E121" s="317" t="e">
        <f>#REF!</f>
        <v>#REF!</v>
      </c>
      <c r="F121"/>
      <c r="H121" s="246">
        <v>1118</v>
      </c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3"/>
        <v>0</v>
      </c>
      <c r="D122" s="438">
        <f t="shared" si="12"/>
        <v>0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3"/>
        <v>754.91</v>
      </c>
      <c r="D123" s="438">
        <f t="shared" si="12"/>
        <v>6.9401057866247374E-4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H123" s="246">
        <v>754.91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>
        <f t="shared" si="12"/>
        <v>0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>
        <f t="shared" si="12"/>
        <v>0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>
        <f t="shared" si="12"/>
        <v>0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>
        <f t="shared" si="12"/>
        <v>0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>
        <f t="shared" si="12"/>
        <v>0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>
        <f t="shared" si="12"/>
        <v>0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>
        <f t="shared" si="12"/>
        <v>0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-6861.52</v>
      </c>
      <c r="D131" s="436">
        <f>-IFERROR(C131/$C$27,"0,00")</f>
        <v>6.307993622688979E-3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-6110.4699999999993</v>
      </c>
      <c r="I131" s="570">
        <f>-SUBTOTAL(109,I132:I144)</f>
        <v>-423.5</v>
      </c>
      <c r="J131" s="570">
        <f>-SUBTOTAL(109,J132:J144)</f>
        <v>-327.55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>
        <f t="shared" ref="D132:D144" si="14">IFERROR(C132/$C$27,"0,00%")</f>
        <v>0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5">H133+I133+J133</f>
        <v>0</v>
      </c>
      <c r="D133" s="438">
        <f t="shared" si="14"/>
        <v>0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5"/>
        <v>3380</v>
      </c>
      <c r="D134" s="438">
        <f t="shared" si="14"/>
        <v>3.107331676463633E-3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H134" s="246">
        <v>3380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5"/>
        <v>3481.52</v>
      </c>
      <c r="D135" s="438">
        <f t="shared" si="14"/>
        <v>3.2006619462253455E-3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H135" s="246">
        <v>2730.47</v>
      </c>
      <c r="I135" s="246">
        <v>423.5</v>
      </c>
      <c r="J135" s="246">
        <v>327.55</v>
      </c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5"/>
        <v>0</v>
      </c>
      <c r="D136" s="438">
        <f t="shared" si="14"/>
        <v>0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5"/>
        <v>0</v>
      </c>
      <c r="D137" s="438">
        <f t="shared" si="14"/>
        <v>0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5"/>
        <v>0</v>
      </c>
      <c r="D138" s="438">
        <f t="shared" si="14"/>
        <v>0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5"/>
        <v>0</v>
      </c>
      <c r="D139" s="438">
        <f t="shared" si="14"/>
        <v>0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25">
      <c r="B140" s="437" t="str">
        <f>Fluxo_de_Caixa_Janeiro[[#This Row],[Fluxo de Caixa 2026 CTR]]</f>
        <v>3.3.09. Viagens e Estadias - CPD</v>
      </c>
      <c r="C140" s="62"/>
      <c r="D140" s="438">
        <f t="shared" si="14"/>
        <v>0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>
        <f t="shared" si="14"/>
        <v>0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>
        <f t="shared" si="14"/>
        <v>0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>
        <f t="shared" si="14"/>
        <v>0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>
        <f t="shared" si="14"/>
        <v>0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-38590.86</v>
      </c>
      <c r="D145" s="436">
        <f>-IFERROR(C145/$C$27,"0,00")</f>
        <v>3.5477692810643002E-2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-38133.270000000004</v>
      </c>
      <c r="I145" s="570">
        <f>-SUBTOTAL(109,I146:I166)</f>
        <v>-457.59000000000003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2834.3500000000004</v>
      </c>
      <c r="D146" s="438">
        <f t="shared" ref="D146:D166" si="16">IFERROR(C146/$C$27,"0,00%")</f>
        <v>2.6056998630723961E-3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H146" s="246">
        <v>2632.78</v>
      </c>
      <c r="I146" s="246">
        <v>201.57</v>
      </c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7">H147+I147+J147</f>
        <v>1223.24</v>
      </c>
      <c r="D147" s="438">
        <f t="shared" si="16"/>
        <v>1.1245598816323594E-3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H147" s="246">
        <v>1223.24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7"/>
        <v>0</v>
      </c>
      <c r="D148" s="438">
        <f t="shared" si="16"/>
        <v>0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7"/>
        <v>2965.82</v>
      </c>
      <c r="D149" s="438">
        <f t="shared" si="16"/>
        <v>2.7265640333400511E-3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H149" s="246">
        <v>2965.82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7"/>
        <v>0</v>
      </c>
      <c r="D150" s="438">
        <f t="shared" si="16"/>
        <v>0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7"/>
        <v>936.04</v>
      </c>
      <c r="D151" s="438">
        <f t="shared" si="16"/>
        <v>8.6052862202278663E-4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H151" s="246">
        <v>800.02</v>
      </c>
      <c r="I151" s="246">
        <v>136.02000000000001</v>
      </c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7"/>
        <v>1470</v>
      </c>
      <c r="D152" s="438">
        <f t="shared" si="16"/>
        <v>1.3514134805921718E-3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H152" s="246">
        <v>1350</v>
      </c>
      <c r="I152" s="246">
        <v>120</v>
      </c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7"/>
        <v>3192</v>
      </c>
      <c r="D153" s="438">
        <f t="shared" si="16"/>
        <v>2.9344978435715727E-3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H153" s="246">
        <v>3192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7"/>
        <v>5642</v>
      </c>
      <c r="D154" s="438">
        <f t="shared" si="16"/>
        <v>5.1868536445585254E-3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H154" s="246">
        <v>5642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7"/>
        <v>734</v>
      </c>
      <c r="D155" s="438">
        <f t="shared" si="16"/>
        <v>6.7478741139772387E-4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H155" s="246">
        <v>734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>
        <f t="shared" si="16"/>
        <v>0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>
        <f t="shared" si="16"/>
        <v>0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7"/>
        <v>601</v>
      </c>
      <c r="D158" s="438">
        <f t="shared" si="16"/>
        <v>5.5251666791557503E-4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H158" s="246">
        <v>601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7"/>
        <v>1161.4100000000001</v>
      </c>
      <c r="D159" s="438">
        <f t="shared" si="16"/>
        <v>1.0677177758466356E-3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H159" s="246">
        <v>1161.4100000000001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>
        <f t="shared" si="16"/>
        <v>0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7"/>
        <v>17831</v>
      </c>
      <c r="D161" s="438">
        <f t="shared" si="16"/>
        <v>1.6392553586693209E-2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H161" s="246">
        <v>17831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>
        <f t="shared" si="16"/>
        <v>0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7"/>
        <v>0</v>
      </c>
      <c r="D163" s="438">
        <f t="shared" si="16"/>
        <v>0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>
        <f t="shared" si="16"/>
        <v>0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>
        <f t="shared" si="16"/>
        <v>0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>
        <f t="shared" si="16"/>
        <v>0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-33970.92</v>
      </c>
      <c r="D167" s="436">
        <f>-IFERROR(C167/$C$27,"0,00")</f>
        <v>3.1230448459944365E-2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-31899.42</v>
      </c>
      <c r="I167" s="570">
        <f>-SUBTOTAL(109,I168:I181)</f>
        <v>-2071.5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341.88</v>
      </c>
      <c r="D168" s="438">
        <f t="shared" ref="D168:D181" si="18">IFERROR(C168/$C$27,"0,00%")</f>
        <v>3.1430016377200794E-4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H168" s="246">
        <v>341.88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4043.81</v>
      </c>
      <c r="D169" s="438">
        <f t="shared" si="18"/>
        <v>3.7175913924853265E-3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H169" s="246">
        <v>1972.31</v>
      </c>
      <c r="I169" s="246">
        <v>2071.5</v>
      </c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9"/>
        <v>928.7</v>
      </c>
      <c r="D170" s="438">
        <f t="shared" si="18"/>
        <v>8.5378074790880948E-4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>
        <v>928.7</v>
      </c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9"/>
        <v>449.91</v>
      </c>
      <c r="D171" s="438">
        <f t="shared" si="18"/>
        <v>4.1361526466205718E-4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H171" s="246">
        <v>449.91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9"/>
        <v>18200</v>
      </c>
      <c r="D172" s="438">
        <f t="shared" si="18"/>
        <v>1.6731785950188795E-2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H172" s="246">
        <v>18200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>
        <f t="shared" si="18"/>
        <v>0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9"/>
        <v>1006.62</v>
      </c>
      <c r="D174" s="438">
        <f t="shared" si="18"/>
        <v>9.2541485566917814E-4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H174" s="246">
        <v>1006.62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9"/>
        <v>0</v>
      </c>
      <c r="D175" s="438">
        <f t="shared" si="18"/>
        <v>0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>
        <f t="shared" si="18"/>
        <v>0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9"/>
        <v>9000</v>
      </c>
      <c r="D177" s="438">
        <f t="shared" si="18"/>
        <v>8.2739600852581949E-3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H177" s="246">
        <v>9000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>
        <f t="shared" si="18"/>
        <v>0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>
        <f t="shared" si="18"/>
        <v>0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>
        <f t="shared" si="18"/>
        <v>0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>
        <f t="shared" si="18"/>
        <v>0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-68559.16</v>
      </c>
      <c r="D182" s="436">
        <f>-IFERROR(C182/$C$27,"0,00")</f>
        <v>6.3028417035425582E-2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-68393.850000000006</v>
      </c>
      <c r="I182" s="570">
        <f>-SUBTOTAL(109,I183:I199)</f>
        <v>-124.9</v>
      </c>
      <c r="J182" s="570">
        <f>-SUBTOTAL(109,J183:J199)</f>
        <v>-40.409999999999997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1516.4700000000003</v>
      </c>
      <c r="D183" s="438">
        <f t="shared" ref="D183:D199" si="20">IFERROR(C183/$C$27,"0,00%")</f>
        <v>1.3941346944990551E-3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H183" s="246">
        <v>1351.16</v>
      </c>
      <c r="I183" s="246">
        <v>124.9</v>
      </c>
      <c r="J183" s="246">
        <v>40.409999999999997</v>
      </c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1">H184+I184+J184</f>
        <v>386.78</v>
      </c>
      <c r="D184" s="438">
        <f t="shared" si="20"/>
        <v>3.5557803130846266E-4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H184" s="246">
        <v>386.78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>
        <f t="shared" si="20"/>
        <v>0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1"/>
        <v>0</v>
      </c>
      <c r="D186" s="438">
        <f t="shared" si="20"/>
        <v>0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>
        <f t="shared" si="20"/>
        <v>0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1"/>
        <v>0</v>
      </c>
      <c r="D188" s="438">
        <f t="shared" si="20"/>
        <v>0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1"/>
        <v>0</v>
      </c>
      <c r="D189" s="438">
        <f t="shared" si="20"/>
        <v>0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1"/>
        <v>66655.91</v>
      </c>
      <c r="D190" s="438">
        <f t="shared" si="20"/>
        <v>6.1278704309618064E-2</v>
      </c>
      <c r="E190" s="317">
        <v>-6</v>
      </c>
      <c r="F190"/>
      <c r="H190" s="246">
        <v>66655.91</v>
      </c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>
        <f t="shared" si="20"/>
        <v>0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1"/>
        <v>0</v>
      </c>
      <c r="D192" s="438">
        <f t="shared" si="20"/>
        <v>0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1"/>
        <v>0</v>
      </c>
      <c r="D193" s="438">
        <f t="shared" si="20"/>
        <v>0</v>
      </c>
      <c r="E193" s="317">
        <v>-3</v>
      </c>
      <c r="F193"/>
      <c r="I193" s="246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>
        <f t="shared" si="20"/>
        <v>0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1"/>
        <v>0</v>
      </c>
      <c r="D195" s="438">
        <f t="shared" si="20"/>
        <v>0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>
        <f t="shared" si="20"/>
        <v>0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>
        <f t="shared" si="20"/>
        <v>0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>
        <f t="shared" si="20"/>
        <v>0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>
        <f t="shared" si="20"/>
        <v>0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-12551.11</v>
      </c>
      <c r="D200" s="436">
        <f>-IFERROR(C200/$C$27,"0,00")</f>
        <v>1.1538598129520553E-2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-12331.11</v>
      </c>
      <c r="I200" s="570">
        <f>-SUBTOTAL(109,I201:I211)</f>
        <v>-220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3693.75</v>
      </c>
      <c r="D201" s="438">
        <f t="shared" ref="D201:D211" si="22">IFERROR(C201/$C$27,"0,00%")</f>
        <v>3.3957711183247173E-3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H201" s="246">
        <v>3593.75</v>
      </c>
      <c r="I201" s="246">
        <v>100</v>
      </c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120</v>
      </c>
      <c r="D202" s="438">
        <f t="shared" si="22"/>
        <v>1.1031946780344259E-4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>
        <v>120</v>
      </c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>
        <f t="shared" si="22"/>
        <v>0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3"/>
        <v>0</v>
      </c>
      <c r="D204" s="438">
        <f t="shared" si="22"/>
        <v>0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>
        <f t="shared" si="22"/>
        <v>0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3"/>
        <v>8617.36</v>
      </c>
      <c r="D206" s="438">
        <f t="shared" si="22"/>
        <v>7.9221880755889502E-3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H206" s="246">
        <v>8617.36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3"/>
        <v>120</v>
      </c>
      <c r="D207" s="438">
        <f t="shared" si="22"/>
        <v>1.1031946780344259E-4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H207" s="246">
        <v>120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3"/>
        <v>0</v>
      </c>
      <c r="D208" s="438">
        <f t="shared" si="22"/>
        <v>0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>
        <f t="shared" si="22"/>
        <v>0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>
        <f t="shared" si="22"/>
        <v>0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>
        <f t="shared" si="22"/>
        <v>0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>
        <f t="shared" ref="D213:D230" si="24">IFERROR(C213/$C$27,"0,00%")</f>
        <v>0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>
        <f t="shared" si="24"/>
        <v>0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>
        <f t="shared" si="24"/>
        <v>0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5">H216+I216+J216</f>
        <v>0</v>
      </c>
      <c r="D216" s="438">
        <f t="shared" si="24"/>
        <v>0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5"/>
        <v>0</v>
      </c>
      <c r="D217" s="438">
        <f t="shared" si="24"/>
        <v>0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5"/>
        <v>0</v>
      </c>
      <c r="D218" s="438">
        <f t="shared" si="24"/>
        <v>0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5"/>
        <v>0</v>
      </c>
      <c r="D219" s="438">
        <f t="shared" si="24"/>
        <v>0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>
        <f t="shared" si="24"/>
        <v>0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>
        <f t="shared" si="24"/>
        <v>0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>
        <f t="shared" si="24"/>
        <v>0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>
        <f t="shared" si="24"/>
        <v>0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>
        <f t="shared" si="24"/>
        <v>0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>
        <f t="shared" si="24"/>
        <v>0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5"/>
        <v>0</v>
      </c>
      <c r="D226" s="438">
        <f t="shared" si="24"/>
        <v>0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5"/>
        <v>0</v>
      </c>
      <c r="D227" s="438">
        <f t="shared" si="24"/>
        <v>0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5"/>
        <v>0</v>
      </c>
      <c r="D228" s="438">
        <f t="shared" si="24"/>
        <v>0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>
        <f t="shared" si="24"/>
        <v>0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>
        <f t="shared" si="24"/>
        <v>0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>
        <f t="shared" ref="D232:D237" si="26">IFERROR(C232/$C$27,"0,00%")</f>
        <v>0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>
        <f t="shared" si="26"/>
        <v>0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>
        <f t="shared" si="26"/>
        <v>0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>
        <f t="shared" si="26"/>
        <v>0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-310909.96999999997</v>
      </c>
      <c r="D236" s="441">
        <f t="shared" si="26"/>
        <v>-0.28582852020986915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-301979.65999999997</v>
      </c>
      <c r="I236" s="570">
        <f>-SUBTOTAL(109,I88:I235)</f>
        <v>-7214.25</v>
      </c>
      <c r="J236" s="570">
        <f>-SUBTOTAL(109,J88:J235)</f>
        <v>-1716.06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246789.71999999997</v>
      </c>
      <c r="D237" s="443">
        <f t="shared" si="26"/>
        <v>0.22688092141467175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830432.22</v>
      </c>
      <c r="D238" s="445">
        <f>SUM(D239,D248,D261)</f>
        <v>0.43292666133109431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830358.84</v>
      </c>
      <c r="I238" s="570">
        <f>+SUBTOTAL(109,I239:I271)</f>
        <v>20</v>
      </c>
      <c r="J238" s="570">
        <f>+SUBTOTAL(109,J239:J271)</f>
        <v>53.38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830000</v>
      </c>
      <c r="D239" s="418">
        <f t="shared" ref="D239:D270" si="27">IF(C239=0,"0,00%",C239/$C$332)</f>
        <v>0.43270133341503569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830000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830000</v>
      </c>
      <c r="D240" s="420">
        <f t="shared" si="27"/>
        <v>0.43270133341503569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H240" s="246">
        <v>830000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1.84</v>
      </c>
      <c r="D248" s="418">
        <f t="shared" si="27"/>
        <v>9.5924151022128405E-7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1.84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9"/>
        <v>1.84</v>
      </c>
      <c r="D254" s="420">
        <f t="shared" si="27"/>
        <v>9.5924151022128405E-7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H254" s="246">
        <v>1.84</v>
      </c>
      <c r="I254" s="246"/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430.38</v>
      </c>
      <c r="D261" s="418">
        <f t="shared" si="27"/>
        <v>2.2436867454838922E-4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357</v>
      </c>
      <c r="I261" s="570">
        <f>SUBTOTAL(109,I262:I271)</f>
        <v>20</v>
      </c>
      <c r="J261" s="570">
        <f>SUBTOTAL(109,J262:J271)</f>
        <v>53.38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25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30"/>
        <v>580.38</v>
      </c>
      <c r="D268" s="420">
        <f t="shared" si="27"/>
        <v>3.0256771070773301E-4</v>
      </c>
      <c r="E268" s="325" t="e">
        <f>#REF!</f>
        <v>#REF!</v>
      </c>
      <c r="F268"/>
      <c r="H268" s="246">
        <v>507</v>
      </c>
      <c r="I268" s="246">
        <v>20</v>
      </c>
      <c r="J268" s="246">
        <v>53.38</v>
      </c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30"/>
        <v>-150</v>
      </c>
      <c r="D269" s="420">
        <f t="shared" si="27"/>
        <v>-7.8199036159343804E-5</v>
      </c>
      <c r="E269" s="325" t="e">
        <f>#REF!</f>
        <v>#REF!</v>
      </c>
      <c r="F269"/>
      <c r="H269" s="246">
        <v>-150</v>
      </c>
      <c r="I269" s="246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30"/>
        <v>0</v>
      </c>
      <c r="D270" s="420" t="str">
        <f t="shared" si="27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-230402.77</v>
      </c>
      <c r="D273" s="436">
        <f>-IFERROR(C273/$C$332,"0,00")</f>
        <v>0.12011516361628648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-230402.77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230402.77</v>
      </c>
      <c r="D274" s="450">
        <f t="shared" ref="D274:D293" si="31">IFERROR(C274/$C$332,"0,00%")</f>
        <v>0.12011516361628648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H274" s="246">
        <v>230402.77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>
        <f t="shared" si="31"/>
        <v>0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>
        <f t="shared" si="31"/>
        <v>0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2"/>
        <v>0</v>
      </c>
      <c r="D277" s="450">
        <f t="shared" si="31"/>
        <v>0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>
        <f t="shared" si="31"/>
        <v>0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>
        <f t="shared" si="31"/>
        <v>0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>
        <f t="shared" si="31"/>
        <v>0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>
        <f t="shared" si="31"/>
        <v>0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>
        <f t="shared" si="31"/>
        <v>0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>
        <f t="shared" si="31"/>
        <v>0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>
        <f t="shared" si="31"/>
        <v>0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>
        <f t="shared" si="31"/>
        <v>0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>
        <f t="shared" si="31"/>
        <v>0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>
        <f t="shared" si="31"/>
        <v>0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>
        <f t="shared" si="31"/>
        <v>0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>
        <f t="shared" si="31"/>
        <v>0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>
        <f t="shared" si="31"/>
        <v>0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>
        <f t="shared" si="31"/>
        <v>0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>
        <f t="shared" si="31"/>
        <v>0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>
        <f t="shared" si="31"/>
        <v>0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-404188.3</v>
      </c>
      <c r="D294" s="436">
        <f>-IFERROR(C294/$C$332,"0,00")</f>
        <v>0.21071423657922467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-404188.3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400000</v>
      </c>
      <c r="D295" s="450">
        <f t="shared" ref="D295:D311" si="33">IFERROR(C295/$C$332,"0,00%")</f>
        <v>0.20853076309158347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H295" s="246">
        <v>400000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>
        <f t="shared" si="33"/>
        <v>0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4"/>
        <v>0</v>
      </c>
      <c r="D297" s="450">
        <f t="shared" si="33"/>
        <v>0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4"/>
        <v>2536.86</v>
      </c>
      <c r="D298" s="450">
        <f t="shared" si="33"/>
        <v>1.3225333791412862E-3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H298" s="246">
        <v>2536.86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4"/>
        <v>669.64</v>
      </c>
      <c r="D299" s="450">
        <f t="shared" si="33"/>
        <v>3.4910135049161988E-4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H299" s="246">
        <v>669.64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4"/>
        <v>981.8</v>
      </c>
      <c r="D300" s="450">
        <f t="shared" si="33"/>
        <v>5.1183875800829158E-4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H300" s="246">
        <v>981.8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>
        <f t="shared" si="33"/>
        <v>0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>
        <f t="shared" si="33"/>
        <v>0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>
        <f t="shared" si="33"/>
        <v>0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>
        <f t="shared" si="33"/>
        <v>0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4"/>
        <v>0</v>
      </c>
      <c r="D305" s="450">
        <f t="shared" si="33"/>
        <v>0</v>
      </c>
      <c r="E305" s="329" t="e">
        <f>#REF!</f>
        <v>#REF!</v>
      </c>
      <c r="F305"/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>
        <f t="shared" si="33"/>
        <v>0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>
        <f t="shared" si="33"/>
        <v>0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>
        <f t="shared" si="33"/>
        <v>0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>
        <f t="shared" si="33"/>
        <v>0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>
        <f t="shared" si="33"/>
        <v>0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>
        <f t="shared" si="33"/>
        <v>0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>
        <f>IFERROR(C312/$C$332,"0,00%")</f>
        <v>0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>
        <f>IFERROR(C313/$C$332,"0,00%")</f>
        <v>0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>
        <f>IFERROR(C314/$C$332,"0,00%")</f>
        <v>0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-11750.66</v>
      </c>
      <c r="D315" s="436">
        <f>-IFERROR(C315/$C$332,"0,00")</f>
        <v>6.1259352415743654E-3</v>
      </c>
      <c r="E315" s="318">
        <v>8.1949891731061042E-2</v>
      </c>
      <c r="F315"/>
      <c r="H315" s="570">
        <f>-SUBTOTAL(109,H316:H321)</f>
        <v>-6720</v>
      </c>
      <c r="I315" s="570">
        <f>-SUBTOTAL(109,I316:I321)</f>
        <v>-5030.66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5270</v>
      </c>
      <c r="D316" s="450">
        <f t="shared" ref="D316:D321" si="35">IFERROR(C316/$C$332,"0,00%")</f>
        <v>2.7473928037316121E-3</v>
      </c>
      <c r="E316" s="329" t="e">
        <f>#REF!</f>
        <v>#REF!</v>
      </c>
      <c r="F316"/>
      <c r="H316" s="246">
        <v>5270</v>
      </c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6480.66</v>
      </c>
      <c r="D317" s="450">
        <f t="shared" si="35"/>
        <v>3.3785424378427534E-3</v>
      </c>
      <c r="E317" s="329" t="e">
        <f>#REF!</f>
        <v>#REF!</v>
      </c>
      <c r="F317"/>
      <c r="H317" s="246">
        <v>1450</v>
      </c>
      <c r="I317" s="246">
        <v>5030.66</v>
      </c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6"/>
        <v>0</v>
      </c>
      <c r="D318" s="450">
        <f t="shared" si="35"/>
        <v>0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>
        <f t="shared" si="35"/>
        <v>0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>
        <f t="shared" si="35"/>
        <v>0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>
        <f t="shared" si="35"/>
        <v>0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-2462.88</v>
      </c>
      <c r="D322" s="436">
        <f>-IFERROR(C322/$C$332,"0,00")</f>
        <v>1.2839656145074978E-3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-2462.88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>
        <f t="shared" ref="D323:D329" si="37">IFERROR(C323/$C$332,"0,00%")</f>
        <v>0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>
        <f t="shared" si="37"/>
        <v>0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2462.88</v>
      </c>
      <c r="D325" s="450">
        <f t="shared" si="37"/>
        <v>1.2839656145074978E-3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H325" s="246">
        <v>2462.88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>
        <f t="shared" si="37"/>
        <v>0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>
        <f t="shared" si="37"/>
        <v>0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>
        <f t="shared" si="37"/>
        <v>0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>
        <f t="shared" si="37"/>
        <v>0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-648804.6100000001</v>
      </c>
      <c r="D330" s="452">
        <f>IFERROR(C330/(C27+C238),"0,00%")</f>
        <v>-0.33823930105159306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-643773.95000000007</v>
      </c>
      <c r="I330" s="570">
        <f>-SUBTOTAL(109,I273:I329)</f>
        <v>-5030.66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8957.5900000000074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1918182.21</v>
      </c>
      <c r="D332" s="456">
        <f>SUM(D27,D238)</f>
        <v>1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7" customHeight="1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-1489764.8800000001</v>
      </c>
      <c r="D333" s="458">
        <f>IFERROR(C333/C332,"0,00%")</f>
        <v>-0.7766545181336032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-1421558.0899999999</v>
      </c>
      <c r="I333" s="571">
        <f>SUM(I85,I236,I330)</f>
        <v>-56970.270000000004</v>
      </c>
      <c r="J333" s="571">
        <f>SUM(J85,J236,J330)</f>
        <v>-11236.519999999999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428417.32999999984</v>
      </c>
      <c r="D334" s="460">
        <f>IFERROR(C334/C332,"0,00%")</f>
        <v>0.22334548186639674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877715.7</v>
      </c>
      <c r="I334" s="570">
        <f>I28+I238</f>
        <v>468804.17000000004</v>
      </c>
      <c r="J334" s="570">
        <f>J28+J238</f>
        <v>571662.34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437374.91999999993</v>
      </c>
      <c r="D335" s="462">
        <f>IFERROR(C335/(C332+C331),"0,00%")</f>
        <v>0.22695547048532749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1346519.87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437595.5799999999</v>
      </c>
      <c r="D336" s="412">
        <f>SUM(D337:D360)</f>
        <v>1</v>
      </c>
      <c r="E336" s="336">
        <v>1</v>
      </c>
      <c r="F336" s="34"/>
      <c r="I336" s="246"/>
    </row>
    <row r="337" spans="2:10" x14ac:dyDescent="0.25">
      <c r="B337" s="413" t="str">
        <f>Fluxo_de_Caixa_Janeiro[[#This Row],[Fluxo de Caixa 2026 CTR]]</f>
        <v>1.0 - TESOURARIA MATRIZ PALMAS</v>
      </c>
      <c r="C337" s="62">
        <v>850.58</v>
      </c>
      <c r="D337" s="414">
        <f>IFERROR(C337/$C$336,"0,00%")</f>
        <v>1.9437582070641578E-3</v>
      </c>
      <c r="E337" s="337">
        <v>0.29736693118255098</v>
      </c>
      <c r="F337" s="34"/>
      <c r="G337">
        <v>1</v>
      </c>
      <c r="H337" s="246">
        <f t="shared" ref="H337:H359" si="38">C3</f>
        <v>337.58</v>
      </c>
      <c r="I337" s="246"/>
      <c r="J337" s="637"/>
    </row>
    <row r="338" spans="2:10" x14ac:dyDescent="0.25">
      <c r="B338" s="413" t="str">
        <f>Fluxo_de_Caixa_Janeiro[[#This Row],[Fluxo de Caixa 2026 CTR]]</f>
        <v>1.1 - BANCO DO BRASIL C.C.60409-7 MATRIZ</v>
      </c>
      <c r="C338" s="62">
        <v>36651.07</v>
      </c>
      <c r="D338" s="414">
        <f t="shared" ref="D338:D359" si="39">IFERROR(C338/$C$336,"0,00%")</f>
        <v>8.3755576324605494E-2</v>
      </c>
      <c r="E338" s="337">
        <v>0.33251761890884102</v>
      </c>
      <c r="F338" s="34"/>
      <c r="G338">
        <v>2</v>
      </c>
      <c r="H338" s="246">
        <f t="shared" si="38"/>
        <v>55.77</v>
      </c>
      <c r="I338" s="246"/>
      <c r="J338" s="637"/>
    </row>
    <row r="339" spans="2:10" hidden="1" x14ac:dyDescent="0.25">
      <c r="B339" s="413">
        <f>Fluxo_de_Caixa_Janeiro[[#This Row],[Fluxo de Caixa 2026 CTR]]</f>
        <v>0</v>
      </c>
      <c r="C339" s="62"/>
      <c r="D339" s="414">
        <f t="shared" ref="D339:D353" si="40">IFERROR(C339/$C$336,"0,00%")</f>
        <v>0</v>
      </c>
      <c r="E339" s="617" t="e">
        <f>#REF!</f>
        <v>#REF!</v>
      </c>
      <c r="F339" s="34"/>
      <c r="G339">
        <v>3</v>
      </c>
      <c r="H339" s="246">
        <f t="shared" si="38"/>
        <v>0</v>
      </c>
      <c r="I339" s="246"/>
    </row>
    <row r="340" spans="2:10" x14ac:dyDescent="0.25">
      <c r="B340" s="413" t="str">
        <f>Fluxo_de_Caixa_Janeiro[[#This Row],[Fluxo de Caixa 2026 CTR]]</f>
        <v>1.2-BRADESCO 15232-3 MATRIZ</v>
      </c>
      <c r="C340" s="62">
        <v>6785.01</v>
      </c>
      <c r="D340" s="414">
        <f t="shared" si="40"/>
        <v>1.550520688531635E-2</v>
      </c>
      <c r="E340" s="617" t="e">
        <f>#REF!</f>
        <v>#REF!</v>
      </c>
      <c r="F340" s="34"/>
      <c r="G340">
        <v>4</v>
      </c>
      <c r="H340" s="246">
        <f t="shared" si="38"/>
        <v>25.97</v>
      </c>
      <c r="I340" s="246"/>
    </row>
    <row r="341" spans="2:10" hidden="1" x14ac:dyDescent="0.25">
      <c r="B341" s="413">
        <f>Fluxo_de_Caixa_Janeiro[[#This Row],[Fluxo de Caixa 2026 CTR]]</f>
        <v>0</v>
      </c>
      <c r="C341" s="62"/>
      <c r="D341" s="414">
        <f t="shared" si="40"/>
        <v>0</v>
      </c>
      <c r="E341" s="617" t="e">
        <f>#REF!</f>
        <v>#REF!</v>
      </c>
      <c r="F341" s="34"/>
      <c r="G341">
        <v>5</v>
      </c>
      <c r="H341" s="246">
        <f t="shared" si="38"/>
        <v>0</v>
      </c>
      <c r="I341" s="246"/>
    </row>
    <row r="342" spans="2:10" x14ac:dyDescent="0.25">
      <c r="B342" s="413" t="str">
        <f>Fluxo_de_Caixa_Janeiro[[#This Row],[Fluxo de Caixa 2026 CTR]]</f>
        <v>1.3 - BANCO STONE MATRIZ C.C 40256726-7</v>
      </c>
      <c r="C342" s="62">
        <v>0</v>
      </c>
      <c r="D342" s="414">
        <f t="shared" si="40"/>
        <v>0</v>
      </c>
      <c r="E342" s="617" t="e">
        <f>#REF!</f>
        <v>#REF!</v>
      </c>
      <c r="F342" s="34"/>
      <c r="G342">
        <v>6</v>
      </c>
      <c r="H342" s="246">
        <f t="shared" si="38"/>
        <v>0</v>
      </c>
      <c r="I342" s="246"/>
    </row>
    <row r="343" spans="2:10" x14ac:dyDescent="0.25">
      <c r="B343" s="413" t="str">
        <f>Fluxo_de_Caixa_Janeiro[[#This Row],[Fluxo de Caixa 2026 CTR]]</f>
        <v>1.4 - BANCO DA AMAZONIA 071730-7 MATRIZ</v>
      </c>
      <c r="C343" s="62">
        <v>304243.92</v>
      </c>
      <c r="D343" s="414">
        <f t="shared" si="40"/>
        <v>0.69526278121913399</v>
      </c>
      <c r="E343" s="617" t="e">
        <f>#REF!</f>
        <v>#REF!</v>
      </c>
      <c r="F343" s="34"/>
      <c r="G343">
        <v>7</v>
      </c>
      <c r="H343" s="246">
        <f t="shared" si="38"/>
        <v>1900.51</v>
      </c>
      <c r="I343" s="246"/>
    </row>
    <row r="344" spans="2:10" x14ac:dyDescent="0.25">
      <c r="B344" s="413" t="str">
        <f>Fluxo_de_Caixa_Janeiro[[#This Row],[Fluxo de Caixa 2026 CTR]]</f>
        <v>1.4.1.INVESTIMENTO CDBORE RCP TXFL</v>
      </c>
      <c r="C344" s="62"/>
      <c r="D344" s="414">
        <f t="shared" si="40"/>
        <v>0</v>
      </c>
      <c r="E344" s="617" t="e">
        <f>#REF!</f>
        <v>#REF!</v>
      </c>
      <c r="F344" s="34"/>
      <c r="G344">
        <v>8</v>
      </c>
      <c r="H344" s="246">
        <f t="shared" si="38"/>
        <v>0</v>
      </c>
      <c r="I344" s="246"/>
    </row>
    <row r="345" spans="2:10" x14ac:dyDescent="0.25">
      <c r="B345" s="413" t="str">
        <f>Fluxo_de_Caixa_Janeiro[[#This Row],[Fluxo de Caixa 2026 CTR]]</f>
        <v>1.5 -  ITAU C.C.98671-6 MATRIZ</v>
      </c>
      <c r="C345" s="62">
        <v>95802.27</v>
      </c>
      <c r="D345" s="414">
        <f t="shared" si="40"/>
        <v>0.21892878808328006</v>
      </c>
      <c r="E345" s="617" t="e">
        <f>#REF!</f>
        <v>#REF!</v>
      </c>
      <c r="F345" s="34"/>
      <c r="G345">
        <v>9</v>
      </c>
      <c r="H345" s="246">
        <f t="shared" si="38"/>
        <v>33831.300000000003</v>
      </c>
      <c r="I345" s="246"/>
    </row>
    <row r="346" spans="2:10" x14ac:dyDescent="0.25">
      <c r="B346" s="413" t="str">
        <f>Fluxo_de_Caixa_Janeiro[[#This Row],[Fluxo de Caixa 2026 CTR]]</f>
        <v>1.5.03. ITAU C.C 83290-2 GARANTIDA</v>
      </c>
      <c r="C346" s="62">
        <v>0</v>
      </c>
      <c r="D346" s="414">
        <f t="shared" si="40"/>
        <v>0</v>
      </c>
      <c r="E346" s="617" t="e">
        <f>#REF!</f>
        <v>#REF!</v>
      </c>
      <c r="F346" s="34"/>
      <c r="G346">
        <v>10</v>
      </c>
      <c r="H346" s="246">
        <f t="shared" si="38"/>
        <v>5399.76</v>
      </c>
      <c r="I346" s="246"/>
    </row>
    <row r="347" spans="2:10" x14ac:dyDescent="0.25">
      <c r="B347" s="413" t="str">
        <f>Fluxo_de_Caixa_Janeiro[[#This Row],[Fluxo de Caixa 2026 CTR]]</f>
        <v>1.9 - CONTA PERDA/ROUBO/BONIFICAÇÃO E DOAÇÃO</v>
      </c>
      <c r="C347" s="62">
        <v>-20953.13</v>
      </c>
      <c r="D347" s="414">
        <f t="shared" si="40"/>
        <v>-4.788240777020647E-2</v>
      </c>
      <c r="E347" s="617" t="e">
        <f>#REF!</f>
        <v>#REF!</v>
      </c>
      <c r="F347" s="34"/>
      <c r="G347">
        <v>11</v>
      </c>
      <c r="H347" s="246">
        <f t="shared" si="38"/>
        <v>-20953.13</v>
      </c>
      <c r="I347" s="246"/>
    </row>
    <row r="348" spans="2:10" hidden="1" x14ac:dyDescent="0.25">
      <c r="B348" s="413">
        <f>Fluxo_de_Caixa_Janeiro[[#This Row],[Fluxo de Caixa 2026 CTR]]</f>
        <v>0</v>
      </c>
      <c r="C348" s="62"/>
      <c r="D348" s="414">
        <f t="shared" si="40"/>
        <v>0</v>
      </c>
      <c r="E348" s="337">
        <v>0.31943681701513732</v>
      </c>
      <c r="F348" s="34"/>
      <c r="G348">
        <v>12</v>
      </c>
      <c r="H348" s="246">
        <f t="shared" si="38"/>
        <v>0</v>
      </c>
      <c r="I348" s="246"/>
    </row>
    <row r="349" spans="2:10" x14ac:dyDescent="0.25">
      <c r="B349" s="413" t="str">
        <f>Fluxo_de_Caixa_Janeiro[[#This Row],[Fluxo de Caixa 2026 CTR]]</f>
        <v>2.1 - BANCO DO BRASIL C.C.60638-3 FILIAL PALMAS</v>
      </c>
      <c r="C349" s="62">
        <v>33375.699999999997</v>
      </c>
      <c r="D349" s="414">
        <f t="shared" si="40"/>
        <v>7.6270651545429238E-2</v>
      </c>
      <c r="E349" s="337">
        <v>0</v>
      </c>
      <c r="F349" s="34"/>
      <c r="G349">
        <v>13</v>
      </c>
      <c r="H349" s="246">
        <f t="shared" si="38"/>
        <v>65.56</v>
      </c>
      <c r="I349" s="246"/>
    </row>
    <row r="350" spans="2:10" hidden="1" x14ac:dyDescent="0.25">
      <c r="B350" s="413">
        <f>Fluxo_de_Caixa_Janeiro[[#This Row],[Fluxo de Caixa 2026 CTR]]</f>
        <v>0</v>
      </c>
      <c r="C350" s="62"/>
      <c r="D350" s="414">
        <f t="shared" si="40"/>
        <v>0</v>
      </c>
      <c r="E350" s="337">
        <v>1.4395773294013838E-2</v>
      </c>
      <c r="F350" s="34"/>
      <c r="G350">
        <v>14</v>
      </c>
      <c r="H350" s="246">
        <f t="shared" si="38"/>
        <v>0</v>
      </c>
      <c r="I350" s="246"/>
    </row>
    <row r="351" spans="2:10" hidden="1" x14ac:dyDescent="0.25">
      <c r="B351" s="413">
        <f>Fluxo_de_Caixa_Janeiro[[#This Row],[Fluxo de Caixa 2026 CTR]]</f>
        <v>0</v>
      </c>
      <c r="C351" s="62"/>
      <c r="D351" s="414">
        <f t="shared" si="40"/>
        <v>0</v>
      </c>
      <c r="E351" s="337">
        <v>1.1641126229335877E-2</v>
      </c>
      <c r="F351" s="34"/>
      <c r="G351">
        <v>15</v>
      </c>
      <c r="H351" s="246">
        <f t="shared" si="38"/>
        <v>0</v>
      </c>
      <c r="I351" s="246"/>
    </row>
    <row r="352" spans="2:10" x14ac:dyDescent="0.25">
      <c r="B352" s="413" t="str">
        <f>Fluxo_de_Caixa_Janeiro[[#This Row],[Fluxo de Caixa 2026 CTR]]</f>
        <v>2.4 - ITAU C.C.98669-0 FILIAL PALMAS</v>
      </c>
      <c r="C352" s="62">
        <v>37.729999999999997</v>
      </c>
      <c r="D352" s="414">
        <f t="shared" si="40"/>
        <v>8.6221163385608252E-5</v>
      </c>
      <c r="E352" s="337">
        <v>2.4641733370120961E-2</v>
      </c>
      <c r="F352" s="34"/>
      <c r="G352">
        <v>16</v>
      </c>
      <c r="H352" s="246">
        <f t="shared" si="38"/>
        <v>37.729999999999997</v>
      </c>
      <c r="I352" s="246"/>
    </row>
    <row r="353" spans="2:9" x14ac:dyDescent="0.25">
      <c r="B353" s="413" t="str">
        <f>Fluxo_de_Caixa_Janeiro[[#This Row],[Fluxo de Caixa 2026 CTR]]</f>
        <v>2.9 - CONTA PERDA/ROUBO E BONIFICAÇÃO FILIAL</v>
      </c>
      <c r="C353" s="62">
        <v>-8598.58</v>
      </c>
      <c r="D353" s="414">
        <f t="shared" si="40"/>
        <v>-1.9649604321871812E-2</v>
      </c>
      <c r="E353" s="337">
        <v>0</v>
      </c>
      <c r="F353" s="34"/>
      <c r="G353">
        <v>17</v>
      </c>
      <c r="H353" s="246">
        <f t="shared" si="38"/>
        <v>-8598.58</v>
      </c>
      <c r="I353" s="246"/>
    </row>
    <row r="354" spans="2:9" x14ac:dyDescent="0.25">
      <c r="B354" s="413" t="str">
        <f>Fluxo_de_Caixa_Janeiro[[#This Row],[Fluxo de Caixa 2026 CTR]]</f>
        <v>4.0 - TESOURARIA FILIAL PORTO</v>
      </c>
      <c r="C354" s="62">
        <v>534.16</v>
      </c>
      <c r="D354" s="414">
        <f t="shared" si="39"/>
        <v>1.2206704647245296E-3</v>
      </c>
      <c r="E354" s="337">
        <v>0</v>
      </c>
      <c r="F354" s="34"/>
      <c r="G354">
        <v>18</v>
      </c>
      <c r="H354" s="246">
        <f t="shared" si="38"/>
        <v>1327.43</v>
      </c>
      <c r="I354" s="246"/>
    </row>
    <row r="355" spans="2:9" x14ac:dyDescent="0.25">
      <c r="B355" s="413" t="str">
        <f>Fluxo_de_Caixa_Janeiro[[#This Row],[Fluxo de Caixa 2026 CTR]]</f>
        <v>4.1 -  BANCO DO BRASIL C.C.61105-0 FILIAL PORTO</v>
      </c>
      <c r="C355" s="62">
        <v>521.91999999999996</v>
      </c>
      <c r="D355" s="414">
        <f t="shared" si="39"/>
        <v>1.1926994326588035E-3</v>
      </c>
      <c r="E355" s="337">
        <v>0</v>
      </c>
      <c r="F355" s="34"/>
      <c r="G355">
        <v>19</v>
      </c>
      <c r="H355" s="246">
        <f t="shared" si="38"/>
        <v>111.93</v>
      </c>
      <c r="I355" s="246"/>
    </row>
    <row r="356" spans="2:9" hidden="1" x14ac:dyDescent="0.25">
      <c r="B356" s="413">
        <f>Fluxo_de_Caixa_Janeiro[[#This Row],[Fluxo de Caixa 2026 CTR]]</f>
        <v>0</v>
      </c>
      <c r="C356" s="62"/>
      <c r="D356" s="414">
        <f t="shared" si="39"/>
        <v>0</v>
      </c>
      <c r="E356" s="337">
        <v>4.031448971430979E-3</v>
      </c>
      <c r="G356">
        <v>20</v>
      </c>
      <c r="H356" s="246">
        <f t="shared" si="38"/>
        <v>0</v>
      </c>
      <c r="I356" s="246"/>
    </row>
    <row r="357" spans="2:9" x14ac:dyDescent="0.25">
      <c r="B357" s="413" t="str">
        <f>Fluxo_de_Caixa_Janeiro[[#This Row],[Fluxo de Caixa 2026 CTR]]</f>
        <v>4.4 - MERCADO PAGO PIX FILIAL PORTO</v>
      </c>
      <c r="C357" s="62">
        <v>13187.1</v>
      </c>
      <c r="D357" s="414">
        <f t="shared" si="39"/>
        <v>3.0135359228262781E-2</v>
      </c>
      <c r="E357" s="337" t="e">
        <f>#REF!</f>
        <v>#REF!</v>
      </c>
      <c r="G357">
        <v>21</v>
      </c>
      <c r="H357" s="246">
        <f t="shared" si="38"/>
        <v>22539.57</v>
      </c>
      <c r="I357" s="246"/>
    </row>
    <row r="358" spans="2:9" x14ac:dyDescent="0.25">
      <c r="B358" s="413" t="str">
        <f>Fluxo_de_Caixa_Janeiro[[#This Row],[Fluxo de Caixa 2026 CTR]]</f>
        <v>4.9 - CONTA PERDA/ROUBO E BONIFICAÇÃO FILIAL</v>
      </c>
      <c r="C358" s="62">
        <v>-29071.86</v>
      </c>
      <c r="D358" s="414">
        <f t="shared" si="39"/>
        <v>-6.6435451656070219E-2</v>
      </c>
      <c r="E358" s="337" t="e">
        <f>#REF!</f>
        <v>#REF!</v>
      </c>
      <c r="G358">
        <v>22</v>
      </c>
      <c r="H358" s="246">
        <f t="shared" si="38"/>
        <v>-29071.86</v>
      </c>
      <c r="I358" s="246"/>
    </row>
    <row r="359" spans="2:9" x14ac:dyDescent="0.25">
      <c r="B359" s="413" t="str">
        <f>Fluxo_de_Caixa_Janeiro[[#This Row],[Fluxo de Caixa 2026 CTR]]</f>
        <v>91.CARTÃO ENDERED 5099+4596+6933+8072 - ESCRITORIO</v>
      </c>
      <c r="C359" s="62">
        <f>3815.55+57.81+44+312.33</f>
        <v>4229.6900000000005</v>
      </c>
      <c r="D359" s="414">
        <f t="shared" si="39"/>
        <v>9.6657511942876608E-3</v>
      </c>
      <c r="E359" s="337" t="e">
        <f>#REF!</f>
        <v>#REF!</v>
      </c>
      <c r="G359">
        <v>23</v>
      </c>
      <c r="H359" s="246">
        <f t="shared" si="38"/>
        <v>1948.05</v>
      </c>
      <c r="I359" s="246"/>
    </row>
    <row r="360" spans="2:9" hidden="1" x14ac:dyDescent="0.25">
      <c r="B360" s="625">
        <f>Fluxo_de_Caixa_Janeiro[[#This Row],[Fluxo de Caixa 2026 CTR]]</f>
        <v>0</v>
      </c>
      <c r="C360" s="62"/>
      <c r="D360" s="414">
        <f t="shared" ref="D360" si="41">IFERROR(C360/$C$336,"0,00%")</f>
        <v>0</v>
      </c>
      <c r="E360" s="627" t="e">
        <f>#REF!</f>
        <v>#REF!</v>
      </c>
      <c r="G360">
        <v>24</v>
      </c>
      <c r="I360" s="246"/>
    </row>
    <row r="361" spans="2:9" ht="24" thickBot="1" x14ac:dyDescent="0.4">
      <c r="B361" s="463"/>
      <c r="C361" s="464">
        <f>SUM(C337:C360)-C335</f>
        <v>220.65999999997439</v>
      </c>
      <c r="D361" s="465">
        <f>IFERROR(C361/C336,"0,00%")</f>
        <v>5.0425555029594781E-4</v>
      </c>
      <c r="E361" s="338" t="e">
        <f>#REF!</f>
        <v>#REF!</v>
      </c>
      <c r="I361" s="246"/>
    </row>
    <row r="362" spans="2:9" x14ac:dyDescent="0.25"/>
    <row r="363" spans="2:9" x14ac:dyDescent="0.25"/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  <row r="412" x14ac:dyDescent="0.25"/>
  </sheetData>
  <protectedRanges>
    <protectedRange sqref="C3:C26" name="Intervalo1"/>
    <protectedRange sqref="C337:C360" name="Saldo Final de Banco_1_2"/>
  </protectedRanges>
  <conditionalFormatting sqref="C86">
    <cfRule type="cellIs" dxfId="709" priority="1" operator="lessThan">
      <formula>0</formula>
    </cfRule>
  </conditionalFormatting>
  <conditionalFormatting sqref="C237">
    <cfRule type="cellIs" dxfId="708" priority="2" operator="greaterThan">
      <formula>0</formula>
    </cfRule>
    <cfRule type="cellIs" dxfId="707" priority="3" operator="lessThan">
      <formula>0</formula>
    </cfRule>
    <cfRule type="cellIs" dxfId="706" priority="4" operator="greaterThan">
      <formula>0</formula>
    </cfRule>
  </conditionalFormatting>
  <conditionalFormatting sqref="C334">
    <cfRule type="cellIs" dxfId="705" priority="5" operator="lessThan">
      <formula>0</formula>
    </cfRule>
    <cfRule type="cellIs" dxfId="704" priority="6" operator="greaterThan">
      <formula>0</formula>
    </cfRule>
  </conditionalFormatting>
  <conditionalFormatting sqref="C335">
    <cfRule type="cellIs" dxfId="703" priority="7" operator="lessThan">
      <formula>0</formula>
    </cfRule>
    <cfRule type="cellIs" dxfId="702" priority="8" operator="greaterThan">
      <formula>0.001</formula>
    </cfRule>
    <cfRule type="cellIs" dxfId="701" priority="9" operator="lessThan">
      <formula>0</formula>
    </cfRule>
    <cfRule type="cellIs" dxfId="700" priority="10" operator="greaterThan">
      <formula>0</formula>
    </cfRule>
    <cfRule type="aboveAverage" dxfId="699" priority="11" aboveAverage="0"/>
  </conditionalFormatting>
  <conditionalFormatting sqref="D86">
    <cfRule type="cellIs" dxfId="698" priority="29" operator="lessThan">
      <formula>0</formula>
    </cfRule>
  </conditionalFormatting>
  <conditionalFormatting sqref="D237 D334">
    <cfRule type="cellIs" dxfId="697" priority="36" operator="greaterThan">
      <formula>0</formula>
    </cfRule>
  </conditionalFormatting>
  <conditionalFormatting sqref="D237">
    <cfRule type="cellIs" dxfId="696" priority="32" operator="lessThan">
      <formula>0</formula>
    </cfRule>
    <cfRule type="cellIs" dxfId="695" priority="31" operator="greaterThan">
      <formula>0</formula>
    </cfRule>
  </conditionalFormatting>
  <conditionalFormatting sqref="D334">
    <cfRule type="cellIs" dxfId="694" priority="35" operator="lessThan">
      <formula>0</formula>
    </cfRule>
  </conditionalFormatting>
  <conditionalFormatting sqref="D335">
    <cfRule type="cellIs" dxfId="693" priority="34" operator="greaterThan">
      <formula>0</formula>
    </cfRule>
    <cfRule type="cellIs" dxfId="692" priority="33" operator="lessThan">
      <formula>0</formula>
    </cfRule>
    <cfRule type="cellIs" dxfId="691" priority="30" operator="greaterThan">
      <formula>0</formula>
    </cfRule>
    <cfRule type="aboveAverage" dxfId="690" priority="37" aboveAverage="0"/>
  </conditionalFormatting>
  <conditionalFormatting sqref="E86">
    <cfRule type="cellIs" dxfId="689" priority="20" operator="lessThan">
      <formula>0</formula>
    </cfRule>
  </conditionalFormatting>
  <conditionalFormatting sqref="E237 E334">
    <cfRule type="cellIs" dxfId="688" priority="27" operator="greaterThan">
      <formula>0</formula>
    </cfRule>
  </conditionalFormatting>
  <conditionalFormatting sqref="E237">
    <cfRule type="cellIs" dxfId="687" priority="23" operator="lessThan">
      <formula>0</formula>
    </cfRule>
    <cfRule type="cellIs" dxfId="686" priority="22" operator="greaterThan">
      <formula>0</formula>
    </cfRule>
  </conditionalFormatting>
  <conditionalFormatting sqref="E334">
    <cfRule type="cellIs" dxfId="685" priority="26" operator="lessThan">
      <formula>0</formula>
    </cfRule>
  </conditionalFormatting>
  <conditionalFormatting sqref="E335">
    <cfRule type="aboveAverage" dxfId="684" priority="28" aboveAverage="0"/>
    <cfRule type="cellIs" dxfId="683" priority="21" operator="greaterThan">
      <formula>0</formula>
    </cfRule>
    <cfRule type="cellIs" dxfId="682" priority="24" operator="lessThan">
      <formula>0</formula>
    </cfRule>
    <cfRule type="cellIs" dxfId="681" priority="25" operator="greaterThan">
      <formula>0</formula>
    </cfRule>
  </conditionalFormatting>
  <conditionalFormatting sqref="F27">
    <cfRule type="iconSet" priority="147">
      <iconSet>
        <cfvo type="percent" val="0"/>
        <cfvo type="percent" val="33"/>
        <cfvo type="percent" val="67"/>
      </iconSet>
    </cfRule>
    <cfRule type="iconSet" priority="142">
      <iconSet iconSet="3Arrows">
        <cfvo type="percent" val="0"/>
        <cfvo type="percent" val="$F$27&lt;=0"/>
        <cfvo type="percent" val="$F$27&gt;=0"/>
      </iconSet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80" priority="144" operator="containsText" text="FALSO">
      <formula>NOT(ISERROR(SEARCH("FALSO",F27)))</formula>
    </cfRule>
    <cfRule type="containsText" dxfId="679" priority="145" operator="containsText" text="VERDADEIRO">
      <formula>NOT(ISERROR(SEARCH("VERDADEIRO",F27)))</formula>
    </cfRule>
    <cfRule type="iconSet" priority="146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678" priority="40" operator="containsText" text="FALSO">
      <formula>NOT(ISERROR(SEARCH("FALSO",F28)))</formula>
    </cfRule>
    <cfRule type="containsText" dxfId="677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676" priority="17" operator="containsText" text="Verd">
      <formula>NOT(ISERROR(SEARCH("Verd",F29)))</formula>
    </cfRule>
    <cfRule type="containsText" dxfId="675" priority="16" operator="containsText" text="Fals">
      <formula>NOT(ISERROR(SEARCH("Fals",F29)))</formula>
    </cfRule>
  </conditionalFormatting>
  <conditionalFormatting sqref="F49:F86">
    <cfRule type="containsText" dxfId="674" priority="15" operator="containsText" text="Verd">
      <formula>NOT(ISERROR(SEARCH("Verd",F49)))</formula>
    </cfRule>
    <cfRule type="containsText" dxfId="673" priority="14" operator="containsText" text="Fals">
      <formula>NOT(ISERROR(SEARCH("Fals",F49)))</formula>
    </cfRule>
  </conditionalFormatting>
  <conditionalFormatting sqref="F88:F271">
    <cfRule type="containsText" dxfId="672" priority="19" operator="containsText" text="Verd">
      <formula>NOT(ISERROR(SEARCH("Verd",F88)))</formula>
    </cfRule>
    <cfRule type="containsText" dxfId="671" priority="18" operator="containsText" text="Fals">
      <formula>NOT(ISERROR(SEARCH("Fals",F88)))</formula>
    </cfRule>
  </conditionalFormatting>
  <conditionalFormatting sqref="F273:F330">
    <cfRule type="containsText" dxfId="670" priority="13" operator="containsText" text="Verd">
      <formula>NOT(ISERROR(SEARCH("Verd",F273)))</formula>
    </cfRule>
    <cfRule type="containsText" dxfId="669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5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autoPageBreaks="0"/>
  </sheetPr>
  <dimension ref="A1:HM424"/>
  <sheetViews>
    <sheetView zoomScaleNormal="100" zoomScaleSheetLayoutView="100" workbookViewId="0">
      <pane xSplit="2" ySplit="1" topLeftCell="C344" activePane="bottomRight" state="frozen"/>
      <selection activeCell="G6" sqref="G6"/>
      <selection pane="topRight" activeCell="G6" sqref="G6"/>
      <selection pane="bottomLeft" activeCell="G6" sqref="G6"/>
      <selection pane="bottomRight" activeCell="E95" sqref="E95"/>
    </sheetView>
  </sheetViews>
  <sheetFormatPr defaultColWidth="0" defaultRowHeight="15" zeroHeight="1" x14ac:dyDescent="0.25"/>
  <cols>
    <col min="1" max="1" width="9.140625" hidden="1" customWidth="1"/>
    <col min="2" max="2" width="56.5703125" customWidth="1"/>
    <col min="3" max="3" width="27.42578125" bestFit="1" customWidth="1"/>
    <col min="4" max="5" width="27.42578125" customWidth="1"/>
    <col min="6" max="14" width="27.42578125" hidden="1" customWidth="1"/>
    <col min="15" max="15" width="30.5703125" style="246" bestFit="1" customWidth="1"/>
    <col min="16" max="16" width="15.5703125" style="6" bestFit="1" customWidth="1"/>
    <col min="17" max="17" width="15.5703125" style="253" customWidth="1"/>
    <col min="18" max="18" width="11.7109375" style="33" hidden="1" customWidth="1"/>
    <col min="19" max="19" width="13.140625" customWidth="1"/>
    <col min="20" max="20" width="15.85546875" customWidth="1"/>
    <col min="21" max="21" width="11.140625" customWidth="1"/>
    <col min="22" max="22" width="30.5703125" bestFit="1" customWidth="1"/>
    <col min="23" max="23" width="17.28515625" bestFit="1" customWidth="1"/>
    <col min="24" max="24" width="24.7109375" hidden="1" customWidth="1"/>
    <col min="25" max="16384" width="9.140625" hidden="1"/>
  </cols>
  <sheetData>
    <row r="1" spans="1:23" ht="36.75" thickBot="1" x14ac:dyDescent="0.3">
      <c r="B1" s="408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79" t="s">
        <v>325</v>
      </c>
      <c r="Q1" s="79" t="s">
        <v>326</v>
      </c>
      <c r="R1" s="30"/>
      <c r="V1" s="653" t="s">
        <v>66</v>
      </c>
      <c r="W1" s="654" t="s">
        <v>324</v>
      </c>
    </row>
    <row r="2" spans="1:23" s="1" customFormat="1" ht="24" thickBot="1" x14ac:dyDescent="0.4">
      <c r="A2" s="10" t="s">
        <v>52</v>
      </c>
      <c r="B2" s="46" t="str">
        <f>Fluxo_de_Caixa_Janeiro[[#This Row],[Fluxo de Caixa 2026 CTR]]</f>
        <v>Disponíveis Nas Contas Movimento inicial</v>
      </c>
      <c r="C2" s="156">
        <f>Fluxo_de_Caixa_Janeiro[[#This Row],[Janeiro]]</f>
        <v>67410.42</v>
      </c>
      <c r="D2" s="156">
        <f>Fluxo_de_Caixa_Janeiro3[[#This Row],[Fevereiro]]</f>
        <v>31847.63</v>
      </c>
      <c r="E2" s="156">
        <f>Fluxo_de_Caixa_Janeiro34[[#This Row],[Março]]</f>
        <v>8957.5900000000074</v>
      </c>
      <c r="F2" s="156"/>
      <c r="G2" s="156"/>
      <c r="H2" s="154"/>
      <c r="I2" s="156"/>
      <c r="J2" s="156"/>
      <c r="K2" s="156"/>
      <c r="L2" s="156"/>
      <c r="M2" s="156"/>
      <c r="N2" s="154"/>
      <c r="O2" s="207">
        <f>Fluxo_de_Caixa_Janeiro31020[[#This Row],[Janeiro]]</f>
        <v>67410.42</v>
      </c>
      <c r="P2" s="17">
        <f>SUM(P3:P26)</f>
        <v>0.87706470305332618</v>
      </c>
      <c r="Q2" s="307"/>
      <c r="R2" s="31"/>
      <c r="V2" s="497">
        <v>192641.1</v>
      </c>
      <c r="W2" s="572">
        <v>1.0452092518159426</v>
      </c>
    </row>
    <row r="3" spans="1:23" x14ac:dyDescent="0.25">
      <c r="B3" s="47" t="str">
        <f>Fluxo_de_Caixa_Janeiro[[#This Row],[Fluxo de Caixa 2026 CTR]]</f>
        <v>1.0 - TESOURARIA MATRIZ PALMAS</v>
      </c>
      <c r="C3" s="259">
        <f>Fluxo_de_Caixa_Janeiro[[#This Row],[Janeiro]]</f>
        <v>148.53</v>
      </c>
      <c r="D3" s="260">
        <f>Fluxo_de_Caixa_Janeiro3[[#This Row],[Fevereiro]]</f>
        <v>40.53</v>
      </c>
      <c r="E3" s="260">
        <f>Fluxo_de_Caixa_Janeiro34[[#This Row],[Março]]</f>
        <v>337.58</v>
      </c>
      <c r="F3" s="260"/>
      <c r="G3" s="260"/>
      <c r="H3" s="261"/>
      <c r="I3" s="298"/>
      <c r="J3" s="260"/>
      <c r="K3" s="260"/>
      <c r="L3" s="260"/>
      <c r="M3" s="260"/>
      <c r="N3" s="261"/>
      <c r="O3" s="208">
        <f>Fluxo_de_Caixa_Janeiro31020[[#This Row],[Janeiro]]</f>
        <v>148.53</v>
      </c>
      <c r="P3" s="28">
        <f t="shared" ref="P3:P26" si="0">IF(O3=0,"0,00%",O3/$O$2)</f>
        <v>2.2033685593414194E-3</v>
      </c>
      <c r="Q3" s="66"/>
      <c r="R3" s="31"/>
      <c r="V3" s="498">
        <v>375.53</v>
      </c>
      <c r="W3" s="573">
        <v>1.9493763272738786E-3</v>
      </c>
    </row>
    <row r="4" spans="1:23" x14ac:dyDescent="0.25">
      <c r="B4" s="47" t="str">
        <f>Fluxo_de_Caixa_Janeiro[[#This Row],[Fluxo de Caixa 2026 CTR]]</f>
        <v>1.1 - BANCO DO BRASIL C.C.60409-7 MATRIZ</v>
      </c>
      <c r="C4" s="256">
        <f>Fluxo_de_Caixa_Janeiro[[#This Row],[Janeiro]]</f>
        <v>15268.12</v>
      </c>
      <c r="D4" s="262">
        <f>Fluxo_de_Caixa_Janeiro3[[#This Row],[Fevereiro]]</f>
        <v>108.85</v>
      </c>
      <c r="E4" s="262">
        <f>Fluxo_de_Caixa_Janeiro34[[#This Row],[Março]]</f>
        <v>55.77</v>
      </c>
      <c r="F4" s="262"/>
      <c r="G4" s="262"/>
      <c r="H4" s="263"/>
      <c r="I4" s="256" t="e">
        <f>#REF!</f>
        <v>#REF!</v>
      </c>
      <c r="J4" s="262" t="e">
        <f>#REF!</f>
        <v>#REF!</v>
      </c>
      <c r="K4" s="262" t="e">
        <f>#REF!</f>
        <v>#REF!</v>
      </c>
      <c r="L4" s="262" t="e">
        <f>#REF!</f>
        <v>#REF!</v>
      </c>
      <c r="M4" s="262" t="e">
        <f>#REF!</f>
        <v>#REF!</v>
      </c>
      <c r="N4" s="263" t="e">
        <f>#REF!</f>
        <v>#REF!</v>
      </c>
      <c r="O4" s="208">
        <f>Fluxo_de_Caixa_Janeiro31020[[#This Row],[Janeiro]]</f>
        <v>15268.12</v>
      </c>
      <c r="P4" s="28">
        <f t="shared" ref="P4:P14" si="1">IF(O4=0,"0,00%",O4/$O$2)</f>
        <v>0.22649495434088679</v>
      </c>
      <c r="Q4" s="66"/>
      <c r="R4" s="31"/>
      <c r="V4" s="498">
        <v>0</v>
      </c>
      <c r="W4" s="573" t="s">
        <v>240</v>
      </c>
    </row>
    <row r="5" spans="1:23" hidden="1" x14ac:dyDescent="0.25">
      <c r="B5" s="47">
        <f>Fluxo_de_Caixa_Janeiro[[#This Row],[Fluxo de Caixa 2026 CTR]]</f>
        <v>0</v>
      </c>
      <c r="C5" s="259">
        <f>Fluxo_de_Caixa_Janeiro[[#This Row],[Janeiro]]</f>
        <v>0</v>
      </c>
      <c r="D5" s="260">
        <f>Fluxo_de_Caixa_Janeiro3[[#This Row],[Fevereiro]]</f>
        <v>0</v>
      </c>
      <c r="E5" s="260">
        <f>Fluxo_de_Caixa_Janeiro34[[#This Row],[Março]]</f>
        <v>0</v>
      </c>
      <c r="F5" s="260"/>
      <c r="G5" s="260"/>
      <c r="H5" s="261"/>
      <c r="I5" s="259" t="e">
        <f>#REF!</f>
        <v>#REF!</v>
      </c>
      <c r="J5" s="260" t="e">
        <f>#REF!</f>
        <v>#REF!</v>
      </c>
      <c r="K5" s="260" t="e">
        <f>#REF!</f>
        <v>#REF!</v>
      </c>
      <c r="L5" s="260" t="e">
        <f>#REF!</f>
        <v>#REF!</v>
      </c>
      <c r="M5" s="260" t="e">
        <f>#REF!</f>
        <v>#REF!</v>
      </c>
      <c r="N5" s="261" t="e">
        <f>#REF!</f>
        <v>#REF!</v>
      </c>
      <c r="O5" s="208">
        <f>Fluxo_de_Caixa_Janeiro31020[[#This Row],[Janeiro]]</f>
        <v>0</v>
      </c>
      <c r="P5" s="28" t="str">
        <f t="shared" si="1"/>
        <v>0,00%</v>
      </c>
      <c r="Q5" s="66"/>
      <c r="R5" s="31"/>
      <c r="V5" s="498">
        <v>0</v>
      </c>
      <c r="W5" s="573" t="s">
        <v>240</v>
      </c>
    </row>
    <row r="6" spans="1:23" x14ac:dyDescent="0.25">
      <c r="B6" s="47" t="str">
        <f>Fluxo_de_Caixa_Janeiro[[#This Row],[Fluxo de Caixa 2026 CTR]]</f>
        <v>1.2-BRADESCO 15232-3 MATRIZ</v>
      </c>
      <c r="C6" s="259">
        <f>Fluxo_de_Caixa_Janeiro[[#This Row],[Janeiro]]</f>
        <v>8.6199999999999992</v>
      </c>
      <c r="D6" s="260">
        <f>Fluxo_de_Caixa_Janeiro3[[#This Row],[Fevereiro]]</f>
        <v>3332.91</v>
      </c>
      <c r="E6" s="260">
        <f>Fluxo_de_Caixa_Janeiro34[[#This Row],[Março]]</f>
        <v>25.97</v>
      </c>
      <c r="F6" s="260"/>
      <c r="G6" s="260"/>
      <c r="H6" s="261"/>
      <c r="I6" s="259" t="e">
        <f>#REF!</f>
        <v>#REF!</v>
      </c>
      <c r="J6" s="260" t="e">
        <f>#REF!</f>
        <v>#REF!</v>
      </c>
      <c r="K6" s="260" t="e">
        <f>#REF!</f>
        <v>#REF!</v>
      </c>
      <c r="L6" s="260" t="e">
        <f>#REF!</f>
        <v>#REF!</v>
      </c>
      <c r="M6" s="260" t="e">
        <f>#REF!</f>
        <v>#REF!</v>
      </c>
      <c r="N6" s="261" t="e">
        <f>#REF!</f>
        <v>#REF!</v>
      </c>
      <c r="O6" s="208">
        <f>Fluxo_de_Caixa_Janeiro31020[[#This Row],[Janeiro]]</f>
        <v>8.6199999999999992</v>
      </c>
      <c r="P6" s="28">
        <f t="shared" si="1"/>
        <v>1.2787340592151775E-4</v>
      </c>
      <c r="Q6" s="66"/>
      <c r="R6" s="31"/>
      <c r="V6" s="498">
        <v>134596.85999999999</v>
      </c>
      <c r="W6" s="573">
        <v>0.69869233512474738</v>
      </c>
    </row>
    <row r="7" spans="1:23" hidden="1" x14ac:dyDescent="0.25">
      <c r="B7" s="47">
        <f>Fluxo_de_Caixa_Janeiro[[#This Row],[Fluxo de Caixa 2026 CTR]]</f>
        <v>0</v>
      </c>
      <c r="C7" s="259">
        <f>Fluxo_de_Caixa_Janeiro[[#This Row],[Janeiro]]</f>
        <v>0</v>
      </c>
      <c r="D7" s="260">
        <f>Fluxo_de_Caixa_Janeiro3[[#This Row],[Fevereiro]]</f>
        <v>0</v>
      </c>
      <c r="E7" s="260">
        <f>Fluxo_de_Caixa_Janeiro34[[#This Row],[Março]]</f>
        <v>0</v>
      </c>
      <c r="F7" s="260"/>
      <c r="G7" s="260"/>
      <c r="H7" s="261"/>
      <c r="I7" s="259" t="e">
        <f>#REF!</f>
        <v>#REF!</v>
      </c>
      <c r="J7" s="260" t="e">
        <f>#REF!</f>
        <v>#REF!</v>
      </c>
      <c r="K7" s="260" t="e">
        <f>#REF!</f>
        <v>#REF!</v>
      </c>
      <c r="L7" s="260" t="e">
        <f>#REF!</f>
        <v>#REF!</v>
      </c>
      <c r="M7" s="260" t="e">
        <f>#REF!</f>
        <v>#REF!</v>
      </c>
      <c r="N7" s="261" t="e">
        <f>#REF!</f>
        <v>#REF!</v>
      </c>
      <c r="O7" s="208">
        <f>Fluxo_de_Caixa_Janeiro31020[[#This Row],[Janeiro]]</f>
        <v>0</v>
      </c>
      <c r="P7" s="28" t="str">
        <f t="shared" si="1"/>
        <v>0,00%</v>
      </c>
      <c r="Q7" s="66"/>
      <c r="R7" s="31"/>
      <c r="V7" s="498">
        <v>0</v>
      </c>
      <c r="W7" s="573" t="s">
        <v>240</v>
      </c>
    </row>
    <row r="8" spans="1:23" x14ac:dyDescent="0.25">
      <c r="B8" s="47" t="str">
        <f>Fluxo_de_Caixa_Janeiro[[#This Row],[Fluxo de Caixa 2026 CTR]]</f>
        <v>1.3 - BANCO STONE MATRIZ C.C 40256726-7</v>
      </c>
      <c r="C8" s="259">
        <f>Fluxo_de_Caixa_Janeiro[[#This Row],[Janeiro]]</f>
        <v>0</v>
      </c>
      <c r="D8" s="260">
        <f>Fluxo_de_Caixa_Janeiro3[[#This Row],[Fevereiro]]</f>
        <v>2671</v>
      </c>
      <c r="E8" s="260">
        <f>Fluxo_de_Caixa_Janeiro34[[#This Row],[Março]]</f>
        <v>0</v>
      </c>
      <c r="F8" s="260"/>
      <c r="G8" s="260"/>
      <c r="H8" s="261"/>
      <c r="I8" s="259" t="e">
        <f>#REF!</f>
        <v>#REF!</v>
      </c>
      <c r="J8" s="260" t="e">
        <f>#REF!</f>
        <v>#REF!</v>
      </c>
      <c r="K8" s="260" t="e">
        <f>#REF!</f>
        <v>#REF!</v>
      </c>
      <c r="L8" s="260" t="e">
        <f>#REF!</f>
        <v>#REF!</v>
      </c>
      <c r="M8" s="260" t="e">
        <f>#REF!</f>
        <v>#REF!</v>
      </c>
      <c r="N8" s="261" t="e">
        <f>#REF!</f>
        <v>#REF!</v>
      </c>
      <c r="O8" s="208">
        <f>Fluxo_de_Caixa_Janeiro31020[[#This Row],[Janeiro]]</f>
        <v>0</v>
      </c>
      <c r="P8" s="28" t="str">
        <f t="shared" si="1"/>
        <v>0,00%</v>
      </c>
      <c r="Q8" s="66"/>
      <c r="R8" s="31"/>
      <c r="V8" s="498">
        <v>26517.91</v>
      </c>
      <c r="W8" s="573">
        <v>0.13765447767895844</v>
      </c>
    </row>
    <row r="9" spans="1:23" hidden="1" x14ac:dyDescent="0.25">
      <c r="B9" s="47" t="str">
        <f>Fluxo_de_Caixa_Janeiro[[#This Row],[Fluxo de Caixa 2026 CTR]]</f>
        <v>1.4 - BANCO DA AMAZONIA 071730-7 MATRIZ</v>
      </c>
      <c r="C9" s="259">
        <f>Fluxo_de_Caixa_Janeiro[[#This Row],[Janeiro]]</f>
        <v>124.56</v>
      </c>
      <c r="D9" s="260">
        <f>Fluxo_de_Caixa_Janeiro3[[#This Row],[Fevereiro]]</f>
        <v>281.77999999999997</v>
      </c>
      <c r="E9" s="260">
        <f>Fluxo_de_Caixa_Janeiro34[[#This Row],[Março]]</f>
        <v>1900.51</v>
      </c>
      <c r="F9" s="260"/>
      <c r="G9" s="260"/>
      <c r="H9" s="261"/>
      <c r="I9" s="259" t="e">
        <f>#REF!</f>
        <v>#REF!</v>
      </c>
      <c r="J9" s="260" t="e">
        <f>#REF!</f>
        <v>#REF!</v>
      </c>
      <c r="K9" s="260" t="e">
        <f>#REF!</f>
        <v>#REF!</v>
      </c>
      <c r="L9" s="260" t="e">
        <f>#REF!</f>
        <v>#REF!</v>
      </c>
      <c r="M9" s="260" t="e">
        <f>#REF!</f>
        <v>#REF!</v>
      </c>
      <c r="N9" s="261" t="e">
        <f>#REF!</f>
        <v>#REF!</v>
      </c>
      <c r="O9" s="208">
        <f>Fluxo_de_Caixa_Janeiro31020[[#This Row],[Janeiro]]</f>
        <v>124.56</v>
      </c>
      <c r="P9" s="28">
        <f t="shared" si="1"/>
        <v>1.8477855500677789E-3</v>
      </c>
      <c r="Q9" s="66"/>
      <c r="R9" s="31"/>
      <c r="V9" s="498">
        <v>0</v>
      </c>
      <c r="W9" s="573" t="s">
        <v>240</v>
      </c>
    </row>
    <row r="10" spans="1:23" x14ac:dyDescent="0.25">
      <c r="B10" s="47" t="str">
        <f>Fluxo_de_Caixa_Janeiro[[#This Row],[Fluxo de Caixa 2026 CTR]]</f>
        <v>1.4.1.INVESTIMENTO CDBORE RCP TXFL</v>
      </c>
      <c r="C10" s="259">
        <f>Fluxo_de_Caixa_Janeiro[[#This Row],[Janeiro]]</f>
        <v>0</v>
      </c>
      <c r="D10" s="260">
        <f>Fluxo_de_Caixa_Janeiro3[[#This Row],[Fevereiro]]</f>
        <v>0</v>
      </c>
      <c r="E10" s="260">
        <f>Fluxo_de_Caixa_Janeiro34[[#This Row],[Março]]</f>
        <v>0</v>
      </c>
      <c r="F10" s="260"/>
      <c r="G10" s="260"/>
      <c r="H10" s="261"/>
      <c r="I10" s="259" t="e">
        <f>#REF!</f>
        <v>#REF!</v>
      </c>
      <c r="J10" s="260" t="e">
        <f>#REF!</f>
        <v>#REF!</v>
      </c>
      <c r="K10" s="260" t="e">
        <f>#REF!</f>
        <v>#REF!</v>
      </c>
      <c r="L10" s="260" t="e">
        <f>#REF!</f>
        <v>#REF!</v>
      </c>
      <c r="M10" s="260" t="e">
        <f>#REF!</f>
        <v>#REF!</v>
      </c>
      <c r="N10" s="261" t="e">
        <f>#REF!</f>
        <v>#REF!</v>
      </c>
      <c r="O10" s="208">
        <f>Fluxo_de_Caixa_Janeiro31020[[#This Row],[Janeiro]]</f>
        <v>0</v>
      </c>
      <c r="P10" s="28" t="str">
        <f t="shared" si="1"/>
        <v>0,00%</v>
      </c>
      <c r="Q10" s="66"/>
      <c r="R10" s="31"/>
      <c r="V10" s="498">
        <v>5717.64</v>
      </c>
      <c r="W10" s="573">
        <v>2.968027072104551E-2</v>
      </c>
    </row>
    <row r="11" spans="1:23" x14ac:dyDescent="0.25">
      <c r="B11" s="47" t="str">
        <f>Fluxo_de_Caixa_Janeiro[[#This Row],[Fluxo de Caixa 2026 CTR]]</f>
        <v>1.5 -  ITAU C.C.98671-6 MATRIZ</v>
      </c>
      <c r="C11" s="259">
        <f>Fluxo_de_Caixa_Janeiro[[#This Row],[Janeiro]]</f>
        <v>40443.69</v>
      </c>
      <c r="D11" s="260">
        <f>Fluxo_de_Caixa_Janeiro3[[#This Row],[Fevereiro]]</f>
        <v>18153.73</v>
      </c>
      <c r="E11" s="260">
        <f>Fluxo_de_Caixa_Janeiro34[[#This Row],[Março]]</f>
        <v>33831.300000000003</v>
      </c>
      <c r="F11" s="260"/>
      <c r="G11" s="260"/>
      <c r="H11" s="261"/>
      <c r="I11" s="259" t="e">
        <f>#REF!</f>
        <v>#REF!</v>
      </c>
      <c r="J11" s="260" t="e">
        <f>#REF!</f>
        <v>#REF!</v>
      </c>
      <c r="K11" s="260" t="e">
        <f>#REF!</f>
        <v>#REF!</v>
      </c>
      <c r="L11" s="260" t="e">
        <f>#REF!</f>
        <v>#REF!</v>
      </c>
      <c r="M11" s="260" t="e">
        <f>#REF!</f>
        <v>#REF!</v>
      </c>
      <c r="N11" s="261" t="e">
        <f>#REF!</f>
        <v>#REF!</v>
      </c>
      <c r="O11" s="208">
        <f>Fluxo_de_Caixa_Janeiro31020[[#This Row],[Janeiro]]</f>
        <v>40443.69</v>
      </c>
      <c r="P11" s="28">
        <f t="shared" si="1"/>
        <v>0.59996199400626793</v>
      </c>
      <c r="Q11" s="66"/>
      <c r="R11" s="31"/>
      <c r="V11" s="498">
        <v>0</v>
      </c>
      <c r="W11" s="573" t="s">
        <v>240</v>
      </c>
    </row>
    <row r="12" spans="1:23" x14ac:dyDescent="0.25">
      <c r="B12" s="47" t="str">
        <f>Fluxo_de_Caixa_Janeiro[[#This Row],[Fluxo de Caixa 2026 CTR]]</f>
        <v>1.5.03. ITAU C.C 83290-2 GARANTIDA</v>
      </c>
      <c r="C12" s="618">
        <f>Fluxo_de_Caixa_Janeiro[[#This Row],[Janeiro]]</f>
        <v>902.73</v>
      </c>
      <c r="D12" s="619">
        <f>Fluxo_de_Caixa_Janeiro3[[#This Row],[Fevereiro]]</f>
        <v>1286.28</v>
      </c>
      <c r="E12" s="619">
        <f>Fluxo_de_Caixa_Janeiro34[[#This Row],[Março]]</f>
        <v>5399.76</v>
      </c>
      <c r="F12" s="619"/>
      <c r="G12" s="619"/>
      <c r="H12" s="620"/>
      <c r="I12" s="618" t="e">
        <f>#REF!</f>
        <v>#REF!</v>
      </c>
      <c r="J12" s="619" t="e">
        <f>#REF!</f>
        <v>#REF!</v>
      </c>
      <c r="K12" s="619" t="e">
        <f>#REF!</f>
        <v>#REF!</v>
      </c>
      <c r="L12" s="619" t="e">
        <f>#REF!</f>
        <v>#REF!</v>
      </c>
      <c r="M12" s="619" t="e">
        <f>#REF!</f>
        <v>#REF!</v>
      </c>
      <c r="N12" s="620" t="e">
        <f>#REF!</f>
        <v>#REF!</v>
      </c>
      <c r="O12" s="208">
        <f>Fluxo_de_Caixa_Janeiro31020[[#This Row],[Janeiro]]</f>
        <v>902.73</v>
      </c>
      <c r="P12" s="28">
        <f t="shared" si="1"/>
        <v>1.3391549852381873E-2</v>
      </c>
      <c r="Q12" s="66"/>
      <c r="R12" s="31"/>
      <c r="V12" s="498">
        <v>0</v>
      </c>
      <c r="W12" s="573" t="s">
        <v>240</v>
      </c>
    </row>
    <row r="13" spans="1:23" x14ac:dyDescent="0.25">
      <c r="B13" s="47" t="str">
        <f>Fluxo_de_Caixa_Janeiro[[#This Row],[Fluxo de Caixa 2026 CTR]]</f>
        <v>1.9 - CONTA PERDA/ROUBO/BONIFICAÇÃO E DOAÇÃO</v>
      </c>
      <c r="C13" s="256">
        <f>Fluxo_de_Caixa_Janeiro[[#This Row],[Janeiro]]</f>
        <v>0</v>
      </c>
      <c r="D13" s="262">
        <f>Fluxo_de_Caixa_Janeiro3[[#This Row],[Fevereiro]]</f>
        <v>0</v>
      </c>
      <c r="E13" s="262">
        <f>Fluxo_de_Caixa_Janeiro34[[#This Row],[Março]]</f>
        <v>-20953.13</v>
      </c>
      <c r="F13" s="262"/>
      <c r="G13" s="262"/>
      <c r="H13" s="263"/>
      <c r="I13" s="262"/>
      <c r="J13" s="262"/>
      <c r="K13" s="262"/>
      <c r="L13" s="262"/>
      <c r="M13" s="262"/>
      <c r="N13" s="263"/>
      <c r="O13" s="208">
        <f>Fluxo_de_Caixa_Janeiro31020[[#This Row],[Janeiro]]</f>
        <v>0</v>
      </c>
      <c r="P13" s="28" t="str">
        <f t="shared" si="1"/>
        <v>0,00%</v>
      </c>
      <c r="Q13" s="66"/>
      <c r="R13" s="31"/>
      <c r="V13" s="498">
        <v>-2553.0500000000002</v>
      </c>
      <c r="W13" s="573">
        <v>-1.3252883211318872E-2</v>
      </c>
    </row>
    <row r="14" spans="1:23" hidden="1" x14ac:dyDescent="0.25">
      <c r="B14" s="47">
        <f>Fluxo_de_Caixa_Janeiro[[#This Row],[Fluxo de Caixa 2026 CTR]]</f>
        <v>0</v>
      </c>
      <c r="C14" s="256">
        <f>Fluxo_de_Caixa_Janeiro[[#This Row],[Janeiro]]</f>
        <v>0</v>
      </c>
      <c r="D14" s="262">
        <f>Fluxo_de_Caixa_Janeiro3[[#This Row],[Fevereiro]]</f>
        <v>0</v>
      </c>
      <c r="E14" s="262">
        <f>Fluxo_de_Caixa_Janeiro34[[#This Row],[Março]]</f>
        <v>0</v>
      </c>
      <c r="F14" s="262"/>
      <c r="G14" s="262"/>
      <c r="H14" s="263"/>
      <c r="I14" s="262"/>
      <c r="J14" s="262"/>
      <c r="K14" s="262"/>
      <c r="L14" s="262"/>
      <c r="M14" s="262"/>
      <c r="N14" s="263"/>
      <c r="O14" s="208">
        <f>Fluxo_de_Caixa_Janeiro31020[[#This Row],[Janeiro]]</f>
        <v>0</v>
      </c>
      <c r="P14" s="28" t="str">
        <f t="shared" si="1"/>
        <v>0,00%</v>
      </c>
      <c r="Q14" s="66"/>
      <c r="R14" s="31"/>
      <c r="V14" s="498">
        <v>0</v>
      </c>
      <c r="W14" s="573">
        <v>0</v>
      </c>
    </row>
    <row r="15" spans="1:23" x14ac:dyDescent="0.25">
      <c r="B15" s="47" t="str">
        <f>Fluxo_de_Caixa_Janeiro[[#This Row],[Fluxo de Caixa 2026 CTR]]</f>
        <v>2.1 - BANCO DO BRASIL C.C.60638-3 FILIAL PALMAS</v>
      </c>
      <c r="C15" s="256">
        <f>Fluxo_de_Caixa_Janeiro[[#This Row],[Janeiro]]</f>
        <v>1415.61</v>
      </c>
      <c r="D15" s="262">
        <f>Fluxo_de_Caixa_Janeiro3[[#This Row],[Fevereiro]]</f>
        <v>1829.48</v>
      </c>
      <c r="E15" s="262">
        <f>Fluxo_de_Caixa_Janeiro34[[#This Row],[Março]]</f>
        <v>65.56</v>
      </c>
      <c r="F15" s="262"/>
      <c r="G15" s="262"/>
      <c r="H15" s="263"/>
      <c r="I15" s="262"/>
      <c r="J15" s="262"/>
      <c r="K15" s="262"/>
      <c r="L15" s="262"/>
      <c r="M15" s="262"/>
      <c r="N15" s="263"/>
      <c r="O15" s="208">
        <f>Fluxo_de_Caixa_Janeiro31020[[#This Row],[Janeiro]]</f>
        <v>1415.61</v>
      </c>
      <c r="P15" s="138">
        <f t="shared" si="0"/>
        <v>2.0999869159693707E-2</v>
      </c>
      <c r="Q15" s="66"/>
      <c r="R15" s="31"/>
      <c r="V15" s="498">
        <v>158.24</v>
      </c>
      <c r="W15" s="573">
        <v>8.2142388098905173E-4</v>
      </c>
    </row>
    <row r="16" spans="1:23" hidden="1" x14ac:dyDescent="0.25">
      <c r="B16" s="47">
        <f>Fluxo_de_Caixa_Janeiro[[#This Row],[Fluxo de Caixa 2026 CTR]]</f>
        <v>0</v>
      </c>
      <c r="C16" s="256">
        <f>Fluxo_de_Caixa_Janeiro[[#This Row],[Janeiro]]</f>
        <v>0</v>
      </c>
      <c r="D16" s="262">
        <f>Fluxo_de_Caixa_Janeiro3[[#This Row],[Fevereiro]]</f>
        <v>0</v>
      </c>
      <c r="E16" s="262">
        <f>Fluxo_de_Caixa_Janeiro34[[#This Row],[Março]]</f>
        <v>0</v>
      </c>
      <c r="F16" s="262"/>
      <c r="G16" s="262"/>
      <c r="H16" s="263"/>
      <c r="I16" s="262"/>
      <c r="J16" s="262"/>
      <c r="K16" s="262"/>
      <c r="L16" s="262"/>
      <c r="M16" s="262"/>
      <c r="N16" s="263"/>
      <c r="O16" s="208">
        <f>Fluxo_de_Caixa_Janeiro31020[[#This Row],[Janeiro]]</f>
        <v>0</v>
      </c>
      <c r="P16" s="138" t="str">
        <f t="shared" si="0"/>
        <v>0,00%</v>
      </c>
      <c r="Q16" s="66"/>
      <c r="R16" s="31"/>
      <c r="V16" s="498">
        <v>-1.79</v>
      </c>
      <c r="W16" s="574">
        <v>-9.2918904636653348E-6</v>
      </c>
    </row>
    <row r="17" spans="1:23" hidden="1" x14ac:dyDescent="0.25">
      <c r="B17" s="47">
        <f>Fluxo_de_Caixa_Janeiro[[#This Row],[Fluxo de Caixa 2026 CTR]]</f>
        <v>0</v>
      </c>
      <c r="C17" s="256">
        <f>Fluxo_de_Caixa_Janeiro[[#This Row],[Janeiro]]</f>
        <v>0</v>
      </c>
      <c r="D17" s="262">
        <f>Fluxo_de_Caixa_Janeiro3[[#This Row],[Fevereiro]]</f>
        <v>0</v>
      </c>
      <c r="E17" s="262">
        <f>Fluxo_de_Caixa_Janeiro34[[#This Row],[Março]]</f>
        <v>0</v>
      </c>
      <c r="F17" s="262"/>
      <c r="G17" s="262"/>
      <c r="H17" s="263"/>
      <c r="I17" s="262"/>
      <c r="J17" s="262"/>
      <c r="K17" s="262"/>
      <c r="L17" s="262"/>
      <c r="M17" s="262"/>
      <c r="N17" s="263"/>
      <c r="O17" s="208">
        <f>Fluxo_de_Caixa_Janeiro31020[[#This Row],[Janeiro]]</f>
        <v>0</v>
      </c>
      <c r="P17" s="138" t="str">
        <f t="shared" si="0"/>
        <v>0,00%</v>
      </c>
      <c r="Q17" s="66"/>
      <c r="R17" s="31"/>
      <c r="V17" s="498">
        <v>0</v>
      </c>
      <c r="W17" s="574">
        <v>0</v>
      </c>
    </row>
    <row r="18" spans="1:23" x14ac:dyDescent="0.25">
      <c r="B18" s="47" t="str">
        <f>Fluxo_de_Caixa_Janeiro[[#This Row],[Fluxo de Caixa 2026 CTR]]</f>
        <v>2.4 - ITAU C.C.98669-0 FILIAL PALMAS</v>
      </c>
      <c r="C18" s="256">
        <f>Fluxo_de_Caixa_Janeiro[[#This Row],[Janeiro]]</f>
        <v>536.72</v>
      </c>
      <c r="D18" s="262">
        <f>Fluxo_de_Caixa_Janeiro3[[#This Row],[Fevereiro]]</f>
        <v>536.72</v>
      </c>
      <c r="E18" s="262">
        <f>Fluxo_de_Caixa_Janeiro34[[#This Row],[Março]]</f>
        <v>37.729999999999997</v>
      </c>
      <c r="F18" s="262"/>
      <c r="G18" s="262"/>
      <c r="H18" s="263"/>
      <c r="I18" s="262"/>
      <c r="J18" s="262"/>
      <c r="K18" s="262"/>
      <c r="L18" s="262"/>
      <c r="M18" s="262"/>
      <c r="N18" s="263"/>
      <c r="O18" s="208">
        <f>Fluxo_de_Caixa_Janeiro31020[[#This Row],[Janeiro]]</f>
        <v>536.72</v>
      </c>
      <c r="P18" s="138">
        <f t="shared" si="0"/>
        <v>7.961973831345363E-3</v>
      </c>
      <c r="Q18" s="66"/>
      <c r="R18" s="31"/>
      <c r="V18" s="498">
        <v>26883.69</v>
      </c>
      <c r="W18" s="574">
        <v>0.13955324175370676</v>
      </c>
    </row>
    <row r="19" spans="1:23" x14ac:dyDescent="0.25">
      <c r="B19" s="47" t="str">
        <f>Fluxo_de_Caixa_Janeiro[[#This Row],[Fluxo de Caixa 2026 CTR]]</f>
        <v>2.9 - CONTA PERDA/ROUBO E BONIFICAÇÃO FILIAL</v>
      </c>
      <c r="C19" s="256">
        <f>Fluxo_de_Caixa_Janeiro[[#This Row],[Janeiro]]</f>
        <v>0</v>
      </c>
      <c r="D19" s="262">
        <f>Fluxo_de_Caixa_Janeiro3[[#This Row],[Fevereiro]]</f>
        <v>-219.15</v>
      </c>
      <c r="E19" s="262">
        <f>Fluxo_de_Caixa_Janeiro34[[#This Row],[Março]]</f>
        <v>-8598.58</v>
      </c>
      <c r="F19" s="262"/>
      <c r="G19" s="262"/>
      <c r="H19" s="263"/>
      <c r="I19" s="262"/>
      <c r="J19" s="262"/>
      <c r="K19" s="262"/>
      <c r="L19" s="262"/>
      <c r="M19" s="262"/>
      <c r="N19" s="263"/>
      <c r="O19" s="209">
        <f>SUM(Fluxo_de_Caixa_Janeiro31020[[#This Row],[Janeiro]:[Dezembro]])</f>
        <v>-8817.73</v>
      </c>
      <c r="P19" s="138">
        <f t="shared" si="0"/>
        <v>-0.13080663197173376</v>
      </c>
      <c r="Q19" s="66"/>
      <c r="R19" s="31"/>
      <c r="V19" s="499">
        <v>2838.21</v>
      </c>
      <c r="W19" s="574">
        <v>1.4733148845184127E-2</v>
      </c>
    </row>
    <row r="20" spans="1:23" x14ac:dyDescent="0.25">
      <c r="B20" s="47" t="str">
        <f>Fluxo_de_Caixa_Janeiro[[#This Row],[Fluxo de Caixa 2026 CTR]]</f>
        <v>4.0 - TESOURARIA FILIAL PORTO</v>
      </c>
      <c r="C20" s="256">
        <f>Fluxo_de_Caixa_Janeiro[[#This Row],[Janeiro]]</f>
        <v>1409.97</v>
      </c>
      <c r="D20" s="262">
        <f>Fluxo_de_Caixa_Janeiro3[[#This Row],[Fevereiro]]</f>
        <v>385.51</v>
      </c>
      <c r="E20" s="262">
        <f>Fluxo_de_Caixa_Janeiro34[[#This Row],[Março]]</f>
        <v>1327.43</v>
      </c>
      <c r="F20" s="262"/>
      <c r="G20" s="262"/>
      <c r="H20" s="263"/>
      <c r="I20" s="262"/>
      <c r="J20" s="262"/>
      <c r="K20" s="262"/>
      <c r="L20" s="262"/>
      <c r="M20" s="262"/>
      <c r="N20" s="263"/>
      <c r="O20" s="209">
        <f>SUM(Fluxo_de_Caixa_Janeiro31020[[#This Row],[Janeiro]:[Dezembro]])</f>
        <v>3122.91</v>
      </c>
      <c r="P20" s="138">
        <f t="shared" si="0"/>
        <v>4.6326814163151632E-2</v>
      </c>
      <c r="Q20" s="66"/>
      <c r="R20" s="31"/>
      <c r="V20" s="499">
        <v>0</v>
      </c>
      <c r="W20" s="574" t="s">
        <v>240</v>
      </c>
    </row>
    <row r="21" spans="1:23" x14ac:dyDescent="0.25">
      <c r="B21" s="47" t="str">
        <f>Fluxo_de_Caixa_Janeiro[[#This Row],[Fluxo de Caixa 2026 CTR]]</f>
        <v>4.1 -  BANCO DO BRASIL C.C.61105-0 FILIAL PORTO</v>
      </c>
      <c r="C21" s="256">
        <f>Fluxo_de_Caixa_Janeiro[[#This Row],[Janeiro]]</f>
        <v>57.34</v>
      </c>
      <c r="D21" s="262">
        <f>Fluxo_de_Caixa_Janeiro3[[#This Row],[Fevereiro]]</f>
        <v>16.829999999999998</v>
      </c>
      <c r="E21" s="262">
        <f>Fluxo_de_Caixa_Janeiro34[[#This Row],[Março]]</f>
        <v>111.93</v>
      </c>
      <c r="F21" s="262"/>
      <c r="G21" s="262"/>
      <c r="H21" s="263"/>
      <c r="I21" s="262"/>
      <c r="J21" s="262"/>
      <c r="K21" s="262"/>
      <c r="L21" s="262"/>
      <c r="M21" s="262"/>
      <c r="N21" s="263"/>
      <c r="O21" s="209">
        <f>SUM(Fluxo_de_Caixa_Janeiro31020[[#This Row],[Janeiro]:[Dezembro]])</f>
        <v>186.10000000000002</v>
      </c>
      <c r="P21" s="138">
        <f t="shared" si="0"/>
        <v>2.7607007937348561E-3</v>
      </c>
      <c r="Q21" s="66"/>
      <c r="R21" s="31"/>
      <c r="V21" s="499">
        <v>0</v>
      </c>
      <c r="W21" s="574" t="s">
        <v>240</v>
      </c>
    </row>
    <row r="22" spans="1:23" hidden="1" x14ac:dyDescent="0.25">
      <c r="B22" s="47">
        <f>Fluxo_de_Caixa_Janeiro[[#This Row],[Fluxo de Caixa 2026 CTR]]</f>
        <v>0</v>
      </c>
      <c r="C22" s="256">
        <f>Fluxo_de_Caixa_Janeiro[[#This Row],[Janeiro]]</f>
        <v>0</v>
      </c>
      <c r="D22" s="262">
        <f>Fluxo_de_Caixa_Janeiro3[[#This Row],[Fevereiro]]</f>
        <v>0</v>
      </c>
      <c r="E22" s="262">
        <f>Fluxo_de_Caixa_Janeiro34[[#This Row],[Março]]</f>
        <v>0</v>
      </c>
      <c r="F22" s="262"/>
      <c r="G22" s="262"/>
      <c r="H22" s="263"/>
      <c r="I22" s="262"/>
      <c r="J22" s="262"/>
      <c r="K22" s="262"/>
      <c r="L22" s="262"/>
      <c r="M22" s="262"/>
      <c r="N22" s="263"/>
      <c r="O22" s="209">
        <f>SUM(Fluxo_de_Caixa_Janeiro31020[[#This Row],[Janeiro]:[Dezembro]])</f>
        <v>0</v>
      </c>
      <c r="P22" s="138" t="str">
        <f t="shared" si="0"/>
        <v>0,00%</v>
      </c>
      <c r="Q22" s="66"/>
      <c r="R22" s="31"/>
      <c r="V22" s="499">
        <v>0</v>
      </c>
      <c r="W22" s="574" t="s">
        <v>240</v>
      </c>
    </row>
    <row r="23" spans="1:23" x14ac:dyDescent="0.25">
      <c r="B23" s="47" t="str">
        <f>Fluxo_de_Caixa_Janeiro[[#This Row],[Fluxo de Caixa 2026 CTR]]</f>
        <v>4.4 - MERCADO PAGO PIX FILIAL PORTO</v>
      </c>
      <c r="C23" s="256">
        <f>Fluxo_de_Caixa_Janeiro[[#This Row],[Janeiro]]</f>
        <v>5412.19</v>
      </c>
      <c r="D23" s="262">
        <f>Fluxo_de_Caixa_Janeiro3[[#This Row],[Fevereiro]]</f>
        <v>2060.42</v>
      </c>
      <c r="E23" s="262">
        <f>Fluxo_de_Caixa_Janeiro34[[#This Row],[Março]]</f>
        <v>22539.57</v>
      </c>
      <c r="F23" s="262"/>
      <c r="G23" s="262"/>
      <c r="H23" s="263"/>
      <c r="I23" s="262"/>
      <c r="J23" s="262"/>
      <c r="K23" s="262"/>
      <c r="L23" s="262"/>
      <c r="M23" s="262"/>
      <c r="N23" s="263"/>
      <c r="O23" s="209">
        <f>SUM(Fluxo_de_Caixa_Janeiro31020[[#This Row],[Janeiro]:[Dezembro]])</f>
        <v>30012.18</v>
      </c>
      <c r="P23" s="138">
        <f t="shared" si="0"/>
        <v>0.44521573964381178</v>
      </c>
      <c r="Q23" s="66"/>
      <c r="R23" s="31"/>
      <c r="V23" s="499">
        <v>5332.04</v>
      </c>
      <c r="W23" s="574">
        <v>2.7678621021163186E-2</v>
      </c>
    </row>
    <row r="24" spans="1:23" x14ac:dyDescent="0.25">
      <c r="B24" s="47" t="str">
        <f>Fluxo_de_Caixa_Janeiro[[#This Row],[Fluxo de Caixa 2026 CTR]]</f>
        <v>4.9 - CONTA PERDA/ROUBO E BONIFICAÇÃO FILIAL</v>
      </c>
      <c r="C24" s="256">
        <f>Fluxo_de_Caixa_Janeiro[[#This Row],[Janeiro]]</f>
        <v>0</v>
      </c>
      <c r="D24" s="262">
        <f>Fluxo_de_Caixa_Janeiro3[[#This Row],[Fevereiro]]</f>
        <v>0</v>
      </c>
      <c r="E24" s="262">
        <f>Fluxo_de_Caixa_Janeiro34[[#This Row],[Março]]</f>
        <v>-29071.86</v>
      </c>
      <c r="F24" s="262"/>
      <c r="G24" s="262"/>
      <c r="H24" s="263"/>
      <c r="I24" s="262"/>
      <c r="J24" s="262"/>
      <c r="K24" s="262"/>
      <c r="L24" s="262"/>
      <c r="M24" s="262"/>
      <c r="N24" s="263"/>
      <c r="O24" s="209">
        <f>SUM(Fluxo_de_Caixa_Janeiro31020[[#This Row],[Janeiro]:[Dezembro]])</f>
        <v>-29071.86</v>
      </c>
      <c r="P24" s="138">
        <f t="shared" si="0"/>
        <v>-0.43126656086699949</v>
      </c>
      <c r="Q24" s="66"/>
      <c r="R24" s="31"/>
      <c r="V24" s="499">
        <v>770.18</v>
      </c>
      <c r="W24" s="574">
        <v>3.998004579500428E-3</v>
      </c>
    </row>
    <row r="25" spans="1:23" ht="15.75" thickBot="1" x14ac:dyDescent="0.3">
      <c r="B25" s="47" t="str">
        <f>Fluxo_de_Caixa_Janeiro[[#This Row],[Fluxo de Caixa 2026 CTR]]</f>
        <v>91.CARTÃO ENDERED 5099+4596+6933+8072 - ESCRITORIO</v>
      </c>
      <c r="C25" s="256">
        <f>Fluxo_de_Caixa_Janeiro[[#This Row],[Janeiro]]</f>
        <v>1682.34</v>
      </c>
      <c r="D25" s="262">
        <f>Fluxo_de_Caixa_Janeiro3[[#This Row],[Fevereiro]]</f>
        <v>1362.74</v>
      </c>
      <c r="E25" s="262">
        <f>Fluxo_de_Caixa_Janeiro34[[#This Row],[Março]]</f>
        <v>1948.05</v>
      </c>
      <c r="F25" s="262"/>
      <c r="G25" s="262"/>
      <c r="H25" s="263"/>
      <c r="I25" s="262"/>
      <c r="J25" s="262"/>
      <c r="K25" s="262"/>
      <c r="L25" s="262"/>
      <c r="M25" s="262"/>
      <c r="N25" s="263"/>
      <c r="O25" s="209">
        <f>SUM(Fluxo_de_Caixa_Janeiro31020[[#This Row],[Janeiro]:[Dezembro]])</f>
        <v>4993.13</v>
      </c>
      <c r="P25" s="138">
        <f t="shared" si="0"/>
        <v>7.407059620752994E-2</v>
      </c>
      <c r="Q25" s="66"/>
      <c r="R25" s="31"/>
      <c r="V25" s="499">
        <v>714.8</v>
      </c>
      <c r="W25" s="574">
        <v>3.7105269851552963E-3</v>
      </c>
    </row>
    <row r="26" spans="1:23" ht="15.75" hidden="1" thickBot="1" x14ac:dyDescent="0.3">
      <c r="B26" s="165">
        <f>Fluxo_de_Caixa_Janeiro[[#This Row],[Fluxo de Caixa 2026 CTR]]</f>
        <v>0</v>
      </c>
      <c r="C26" s="257">
        <f>Fluxo_de_Caixa_Janeiro[[#This Row],[Janeiro]]</f>
        <v>0</v>
      </c>
      <c r="D26" s="264">
        <f>Fluxo_de_Caixa_Janeiro3[[#This Row],[Fevereiro]]</f>
        <v>-150.01000000001295</v>
      </c>
      <c r="E26" s="264">
        <f>Fluxo_de_Caixa_Janeiro34[[#This Row],[Março]]</f>
        <v>0</v>
      </c>
      <c r="F26" s="264"/>
      <c r="G26" s="264"/>
      <c r="H26" s="265"/>
      <c r="I26" s="264"/>
      <c r="J26" s="264"/>
      <c r="K26" s="264"/>
      <c r="L26" s="264"/>
      <c r="M26" s="264"/>
      <c r="N26" s="265"/>
      <c r="O26" s="210">
        <f>SUM(Fluxo_de_Caixa_Janeiro31020[[#This Row],[Janeiro]:[Dezembro]])</f>
        <v>-150.01000000001295</v>
      </c>
      <c r="P26" s="139">
        <f t="shared" si="0"/>
        <v>-2.2253236220752363E-3</v>
      </c>
      <c r="Q26" s="67"/>
      <c r="R26" s="31"/>
      <c r="V26" s="500">
        <v>1.7462298274040222E-10</v>
      </c>
      <c r="W26" s="575">
        <v>9.0646794863817846E-16</v>
      </c>
    </row>
    <row r="27" spans="1:23" ht="27" thickBot="1" x14ac:dyDescent="0.45">
      <c r="B27" s="266" t="str">
        <f>Fluxo_de_Caixa_Janeiro[[#This Row],[Fluxo de Caixa 2026 CTR]]</f>
        <v>Total Receitas Operacionais / Vendas</v>
      </c>
      <c r="C27" s="37">
        <f>Fluxo_de_Caixa_Janeiro[[#This Row],[Janeiro]]</f>
        <v>749632.92999999993</v>
      </c>
      <c r="D27" s="83">
        <f>Fluxo_de_Caixa_Janeiro3[[#This Row],[Fevereiro]]</f>
        <v>1038589.0900000001</v>
      </c>
      <c r="E27" s="83">
        <f>Fluxo_de_Caixa_Janeiro34[[#This Row],[Março]]</f>
        <v>1087749.99</v>
      </c>
      <c r="F27" s="83"/>
      <c r="G27" s="83"/>
      <c r="H27" s="121"/>
      <c r="I27" s="83"/>
      <c r="J27" s="83"/>
      <c r="K27" s="83"/>
      <c r="L27" s="83"/>
      <c r="M27" s="83"/>
      <c r="N27" s="121"/>
      <c r="O27" s="211">
        <f>SUM(Fluxo_de_Caixa_Janeiro31020[[#This Row],[Janeiro]:[Dezembro]])</f>
        <v>2875972.01</v>
      </c>
      <c r="P27" s="198">
        <f>IFERROR(O27/O332,"0,00%")</f>
        <v>0.77565879870028309</v>
      </c>
      <c r="Q27" s="198">
        <v>0.98042160558393698</v>
      </c>
      <c r="R27" s="32" t="str">
        <f>IF(Fluxo_de_Caixa_Janeiro31020[[#This Row],[% ACUMULADO  1º Trimes 2026]]&gt;=Fluxo_de_Caixa_Janeiro31020[[#This Row],[% ACUMULADO  1º Trimes 2025]],"VERDADEIRO","FALSO")</f>
        <v>FALSO</v>
      </c>
      <c r="T27" s="287">
        <f>V27-Fluxo_de_Caixa_Janeiro31020[[#This Row],[Total]]</f>
        <v>-185520.06999999983</v>
      </c>
      <c r="V27" s="501">
        <v>2690451.94</v>
      </c>
      <c r="W27" s="576">
        <v>0.98042160558393698</v>
      </c>
    </row>
    <row r="28" spans="1:23" s="1" customFormat="1" ht="24" thickBot="1" x14ac:dyDescent="0.4">
      <c r="A28" s="11" t="s">
        <v>49</v>
      </c>
      <c r="B28" s="57" t="str">
        <f>Fluxo_de_Caixa_Janeiro[[#This Row],[Fluxo de Caixa 2026 CTR]]</f>
        <v>1.1. Receita com Vendas</v>
      </c>
      <c r="C28" s="44">
        <f>Fluxo_de_Caixa_Janeiro[[#This Row],[Janeiro]]</f>
        <v>749632.92999999993</v>
      </c>
      <c r="D28" s="85">
        <f>Fluxo_de_Caixa_Janeiro3[[#This Row],[Fevereiro]]</f>
        <v>1038589.0900000001</v>
      </c>
      <c r="E28" s="85">
        <f>Fluxo_de_Caixa_Janeiro34[[#This Row],[Março]]</f>
        <v>1087749.99</v>
      </c>
      <c r="F28" s="85"/>
      <c r="G28" s="85"/>
      <c r="H28" s="122"/>
      <c r="I28" s="85"/>
      <c r="J28" s="85"/>
      <c r="K28" s="85"/>
      <c r="L28" s="85"/>
      <c r="M28" s="85"/>
      <c r="N28" s="122"/>
      <c r="O28" s="212">
        <f>SUM(Fluxo_de_Caixa_Janeiro31020[[#This Row],[Janeiro]:[Dezembro]])</f>
        <v>2875972.01</v>
      </c>
      <c r="P28" s="25">
        <f>SUM(P29:P47)</f>
        <v>0.7756587987002832</v>
      </c>
      <c r="Q28" s="309">
        <v>0.98042160558393698</v>
      </c>
      <c r="R28" s="32" t="str">
        <f>IF(Fluxo_de_Caixa_Janeiro31020[[#This Row],[% ACUMULADO  1º Trimes 2026]]&gt;=Fluxo_de_Caixa_Janeiro31020[[#This Row],[% ACUMULADO  1º Trimes 2025]],"VERDADEIRO","FALSO")</f>
        <v>FALSO</v>
      </c>
      <c r="V28" s="502">
        <v>2690451.94</v>
      </c>
      <c r="W28" s="577">
        <v>0.98042160558393698</v>
      </c>
    </row>
    <row r="29" spans="1:23" x14ac:dyDescent="0.25">
      <c r="B29" s="49" t="str">
        <f>Fluxo_de_Caixa_Janeiro[[#This Row],[Fluxo de Caixa 2026 CTR]]</f>
        <v xml:space="preserve">1.1.01. Receita em Dinheiro </v>
      </c>
      <c r="C29" s="39">
        <f>Fluxo_de_Caixa_Janeiro[[#This Row],[Janeiro]]</f>
        <v>2199.7799999999997</v>
      </c>
      <c r="D29" s="84">
        <f>Fluxo_de_Caixa_Janeiro3[[#This Row],[Fevereiro]]</f>
        <v>4660.3700000000008</v>
      </c>
      <c r="E29" s="84">
        <f>Fluxo_de_Caixa_Janeiro34[[#This Row],[Março]]</f>
        <v>2754.35</v>
      </c>
      <c r="F29" s="84"/>
      <c r="G29" s="84"/>
      <c r="H29" s="123"/>
      <c r="I29" s="84"/>
      <c r="J29" s="84"/>
      <c r="K29" s="84"/>
      <c r="L29" s="84"/>
      <c r="M29" s="84"/>
      <c r="N29" s="123"/>
      <c r="O29" s="213">
        <f>SUM(Fluxo_de_Caixa_Janeiro31020[[#This Row],[Janeiro]:[Dezembro]])</f>
        <v>9614.5</v>
      </c>
      <c r="P29" s="29">
        <f t="shared" ref="P29:P47" si="2">IF(O29=0,"0,00%",O29/$O$332)</f>
        <v>2.5930612308371777E-3</v>
      </c>
      <c r="Q29" s="63">
        <v>8.0947210960452994E-3</v>
      </c>
      <c r="R29" s="32" t="str">
        <f>IF(Fluxo_de_Caixa_Janeiro31020[[#This Row],[% ACUMULADO  1º Trimes 2026]]&gt;=Fluxo_de_Caixa_Janeiro31020[[#This Row],[% ACUMULADO  1º Trimes 2025]],"VERDADEIRO","FALSO")</f>
        <v>FALSO</v>
      </c>
      <c r="T29" s="287"/>
      <c r="V29" s="503">
        <v>22213.360000000001</v>
      </c>
      <c r="W29" s="578">
        <v>8.0947210960452994E-3</v>
      </c>
    </row>
    <row r="30" spans="1:23" x14ac:dyDescent="0.25">
      <c r="B30" s="50" t="str">
        <f>Fluxo_de_Caixa_Janeiro[[#This Row],[Fluxo de Caixa 2026 CTR]]</f>
        <v>1.1.01. Receita em Cartão (Crédito e Débito)</v>
      </c>
      <c r="C30" s="40">
        <f>Fluxo_de_Caixa_Janeiro[[#This Row],[Janeiro]]</f>
        <v>328505.71999999997</v>
      </c>
      <c r="D30" s="64">
        <f>Fluxo_de_Caixa_Janeiro3[[#This Row],[Fevereiro]]</f>
        <v>221053.51</v>
      </c>
      <c r="E30" s="64">
        <f>Fluxo_de_Caixa_Janeiro34[[#This Row],[Março]]</f>
        <v>110371.16999999998</v>
      </c>
      <c r="F30" s="64"/>
      <c r="G30" s="64"/>
      <c r="H30" s="124"/>
      <c r="I30" s="64"/>
      <c r="J30" s="64"/>
      <c r="K30" s="64"/>
      <c r="L30" s="64"/>
      <c r="M30" s="64"/>
      <c r="N30" s="124"/>
      <c r="O30" s="214">
        <f>SUM(Fluxo_de_Caixa_Janeiro31020[[#This Row],[Janeiro]:[Dezembro]])</f>
        <v>659930.39999999991</v>
      </c>
      <c r="P30" s="140">
        <f t="shared" si="2"/>
        <v>0.17798532792041924</v>
      </c>
      <c r="Q30" s="63">
        <v>6.0278818227771674E-2</v>
      </c>
      <c r="R30" s="32" t="str">
        <f>IF(Fluxo_de_Caixa_Janeiro31020[[#This Row],[% ACUMULADO  1º Trimes 2026]]&gt;=Fluxo_de_Caixa_Janeiro31020[[#This Row],[% ACUMULADO  1º Trimes 2025]],"VERDADEIRO","FALSO")</f>
        <v>VERDADEIRO</v>
      </c>
      <c r="T30" s="287"/>
      <c r="V30" s="504">
        <v>165415.84000000003</v>
      </c>
      <c r="W30" s="579">
        <v>6.0278818227771674E-2</v>
      </c>
    </row>
    <row r="31" spans="1:23" x14ac:dyDescent="0.25">
      <c r="B31" s="50" t="str">
        <f>Fluxo_de_Caixa_Janeiro[[#This Row],[Fluxo de Caixa 2026 CTR]]</f>
        <v>1.1.01. Receita de Cheque A Vista</v>
      </c>
      <c r="C31" s="35">
        <f>Fluxo_de_Caixa_Janeiro[[#This Row],[Janeiro]]</f>
        <v>15000</v>
      </c>
      <c r="D31" s="62">
        <f>Fluxo_de_Caixa_Janeiro3[[#This Row],[Fevereiro]]</f>
        <v>26907.75</v>
      </c>
      <c r="E31" s="62">
        <f>Fluxo_de_Caixa_Janeiro34[[#This Row],[Março]]</f>
        <v>0</v>
      </c>
      <c r="F31" s="62"/>
      <c r="G31" s="62"/>
      <c r="H31" s="119"/>
      <c r="I31" s="62"/>
      <c r="J31" s="62"/>
      <c r="K31" s="62"/>
      <c r="L31" s="62"/>
      <c r="M31" s="62"/>
      <c r="N31" s="119"/>
      <c r="O31" s="214">
        <f>SUM(Fluxo_de_Caixa_Janeiro31020[[#This Row],[Janeiro]:[Dezembro]])</f>
        <v>41907.75</v>
      </c>
      <c r="P31" s="140">
        <f t="shared" si="2"/>
        <v>1.1302653470967469E-2</v>
      </c>
      <c r="Q31" s="63" t="s">
        <v>240</v>
      </c>
      <c r="R31" s="32" t="str">
        <f>IF(Fluxo_de_Caixa_Janeiro31020[[#This Row],[% ACUMULADO  1º Trimes 2026]]&gt;=Fluxo_de_Caixa_Janeiro31020[[#This Row],[% ACUMULADO  1º Trimes 2025]],"VERDADEIRO","FALSO")</f>
        <v>FALSO</v>
      </c>
      <c r="T31" s="287"/>
      <c r="V31" s="504">
        <v>0</v>
      </c>
      <c r="W31" s="579" t="s">
        <v>240</v>
      </c>
    </row>
    <row r="32" spans="1:23" x14ac:dyDescent="0.25">
      <c r="B32" s="50" t="str">
        <f>Fluxo_de_Caixa_Janeiro[[#This Row],[Fluxo de Caixa 2026 CTR]]</f>
        <v xml:space="preserve">1.1.01. Receita de Cheque Pré </v>
      </c>
      <c r="C32" s="35">
        <f>Fluxo_de_Caixa_Janeiro[[#This Row],[Janeiro]]</f>
        <v>0</v>
      </c>
      <c r="D32" s="62">
        <f>Fluxo_de_Caixa_Janeiro3[[#This Row],[Fevereiro]]</f>
        <v>0</v>
      </c>
      <c r="E32" s="62">
        <f>Fluxo_de_Caixa_Janeiro34[[#This Row],[Março]]</f>
        <v>0</v>
      </c>
      <c r="F32" s="62"/>
      <c r="G32" s="62"/>
      <c r="H32" s="119"/>
      <c r="I32" s="62"/>
      <c r="J32" s="62"/>
      <c r="K32" s="62"/>
      <c r="L32" s="62"/>
      <c r="M32" s="62"/>
      <c r="N32" s="119"/>
      <c r="O32" s="214">
        <f>SUM(Fluxo_de_Caixa_Janeiro31020[[#This Row],[Janeiro]:[Dezembro]])</f>
        <v>0</v>
      </c>
      <c r="P32" s="140" t="str">
        <f t="shared" si="2"/>
        <v>0,00%</v>
      </c>
      <c r="Q32" s="63" t="s">
        <v>240</v>
      </c>
      <c r="R32" s="32" t="str">
        <f>IF(Fluxo_de_Caixa_Janeiro31020[[#This Row],[% ACUMULADO  1º Trimes 2026]]&gt;=Fluxo_de_Caixa_Janeiro31020[[#This Row],[% ACUMULADO  1º Trimes 2025]],"VERDADEIRO","FALSO")</f>
        <v>VERDADEIRO</v>
      </c>
      <c r="T32" s="287"/>
      <c r="V32" s="504">
        <v>0</v>
      </c>
      <c r="W32" s="579" t="s">
        <v>240</v>
      </c>
    </row>
    <row r="33" spans="1:23" x14ac:dyDescent="0.25">
      <c r="B33" s="50" t="str">
        <f>Fluxo_de_Caixa_Janeiro[[#This Row],[Fluxo de Caixa 2026 CTR]]</f>
        <v>1.1.01. Recebimento de Carteira (Notinha)</v>
      </c>
      <c r="C33" s="35">
        <f>Fluxo_de_Caixa_Janeiro[[#This Row],[Janeiro]]</f>
        <v>0</v>
      </c>
      <c r="D33" s="62">
        <f>Fluxo_de_Caixa_Janeiro3[[#This Row],[Fevereiro]]</f>
        <v>0</v>
      </c>
      <c r="E33" s="62">
        <f>Fluxo_de_Caixa_Janeiro34[[#This Row],[Março]]</f>
        <v>190040.35</v>
      </c>
      <c r="F33" s="62"/>
      <c r="G33" s="62"/>
      <c r="H33" s="119"/>
      <c r="I33" s="62"/>
      <c r="J33" s="62"/>
      <c r="K33" s="62"/>
      <c r="L33" s="62"/>
      <c r="M33" s="62"/>
      <c r="N33" s="119"/>
      <c r="O33" s="214">
        <f>SUM(Fluxo_de_Caixa_Janeiro31020[[#This Row],[Janeiro]:[Dezembro]])</f>
        <v>190040.35</v>
      </c>
      <c r="P33" s="140">
        <f t="shared" si="2"/>
        <v>5.1254486856282498E-2</v>
      </c>
      <c r="Q33" s="63">
        <v>0.28301373465658786</v>
      </c>
      <c r="R33" s="32" t="str">
        <f>IF(Fluxo_de_Caixa_Janeiro31020[[#This Row],[% ACUMULADO  1º Trimes 2026]]&gt;=Fluxo_de_Caixa_Janeiro31020[[#This Row],[% ACUMULADO  1º Trimes 2025]],"VERDADEIRO","FALSO")</f>
        <v>FALSO</v>
      </c>
      <c r="T33" s="287"/>
      <c r="V33" s="504">
        <v>776640.22</v>
      </c>
      <c r="W33" s="579">
        <v>0.28301373465658786</v>
      </c>
    </row>
    <row r="34" spans="1:23" x14ac:dyDescent="0.25">
      <c r="B34" s="50" t="str">
        <f>Fluxo_de_Caixa_Janeiro[[#This Row],[Fluxo de Caixa 2026 CTR]]</f>
        <v>1.1.01. Recebimento de Boletos</v>
      </c>
      <c r="C34" s="35">
        <f>Fluxo_de_Caixa_Janeiro[[#This Row],[Janeiro]]</f>
        <v>144411.43</v>
      </c>
      <c r="D34" s="62">
        <f>Fluxo_de_Caixa_Janeiro3[[#This Row],[Fevereiro]]</f>
        <v>317162.15000000002</v>
      </c>
      <c r="E34" s="62">
        <f>Fluxo_de_Caixa_Janeiro34[[#This Row],[Março]]</f>
        <v>395244.86</v>
      </c>
      <c r="F34" s="62"/>
      <c r="G34" s="62"/>
      <c r="H34" s="119"/>
      <c r="I34" s="62"/>
      <c r="J34" s="62"/>
      <c r="K34" s="62"/>
      <c r="L34" s="62"/>
      <c r="M34" s="62"/>
      <c r="N34" s="119"/>
      <c r="O34" s="214">
        <f>SUM(Fluxo_de_Caixa_Janeiro31020[[#This Row],[Janeiro]:[Dezembro]])</f>
        <v>856818.44</v>
      </c>
      <c r="P34" s="140">
        <f t="shared" si="2"/>
        <v>0.23108665855014723</v>
      </c>
      <c r="Q34" s="63">
        <v>0.40013718495103023</v>
      </c>
      <c r="R34" s="32" t="str">
        <f>IF(Fluxo_de_Caixa_Janeiro31020[[#This Row],[% ACUMULADO  1º Trimes 2026]]&gt;=Fluxo_de_Caixa_Janeiro31020[[#This Row],[% ACUMULADO  1º Trimes 2025]],"VERDADEIRO","FALSO")</f>
        <v>FALSO</v>
      </c>
      <c r="T34" s="287"/>
      <c r="V34" s="504">
        <v>1098047.8799999999</v>
      </c>
      <c r="W34" s="579">
        <v>0.40013718495103023</v>
      </c>
    </row>
    <row r="35" spans="1:23" x14ac:dyDescent="0.25">
      <c r="B35" s="50" t="str">
        <f>Fluxo_de_Caixa_Janeiro[[#This Row],[Fluxo de Caixa 2026 CTR]]</f>
        <v>1.1.01. Recebimento em Depósito e Dep. PIX</v>
      </c>
      <c r="C35" s="35">
        <f>Fluxo_de_Caixa_Janeiro[[#This Row],[Janeiro]]</f>
        <v>259516</v>
      </c>
      <c r="D35" s="62">
        <f>Fluxo_de_Caixa_Janeiro3[[#This Row],[Fevereiro]]</f>
        <v>468805.31000000006</v>
      </c>
      <c r="E35" s="62">
        <f>Fluxo_de_Caixa_Janeiro34[[#This Row],[Março]]</f>
        <v>389339.26</v>
      </c>
      <c r="F35" s="62"/>
      <c r="G35" s="62"/>
      <c r="H35" s="119"/>
      <c r="I35" s="62"/>
      <c r="J35" s="62"/>
      <c r="K35" s="62"/>
      <c r="L35" s="62"/>
      <c r="M35" s="62"/>
      <c r="N35" s="119"/>
      <c r="O35" s="214">
        <f>SUM(Fluxo_de_Caixa_Janeiro31020[[#This Row],[Janeiro]:[Dezembro]])</f>
        <v>1117660.57</v>
      </c>
      <c r="P35" s="140">
        <f t="shared" si="2"/>
        <v>0.30143661067162952</v>
      </c>
      <c r="Q35" s="63">
        <v>0.22889714665250191</v>
      </c>
      <c r="R35" s="32" t="str">
        <f>IF(Fluxo_de_Caixa_Janeiro31020[[#This Row],[% ACUMULADO  1º Trimes 2026]]&gt;=Fluxo_de_Caixa_Janeiro31020[[#This Row],[% ACUMULADO  1º Trimes 2025]],"VERDADEIRO","FALSO")</f>
        <v>VERDADEIRO</v>
      </c>
      <c r="T35" s="287"/>
      <c r="V35" s="504">
        <v>628134.64</v>
      </c>
      <c r="W35" s="579">
        <v>0.22889714665250191</v>
      </c>
    </row>
    <row r="36" spans="1:23" ht="15.75" thickBot="1" x14ac:dyDescent="0.3">
      <c r="B36" s="51" t="str">
        <f>Fluxo_de_Caixa_Janeiro[[#This Row],[Fluxo de Caixa 2026 CTR]]</f>
        <v>1.1.02. Recebimento Cheque Devolvido</v>
      </c>
      <c r="C36" s="35">
        <f>Fluxo_de_Caixa_Janeiro[[#This Row],[Janeiro]]</f>
        <v>0</v>
      </c>
      <c r="D36" s="62">
        <f>Fluxo_de_Caixa_Janeiro3[[#This Row],[Fevereiro]]</f>
        <v>0</v>
      </c>
      <c r="E36" s="62">
        <f>Fluxo_de_Caixa_Janeiro34[[#This Row],[Março]]</f>
        <v>0</v>
      </c>
      <c r="F36" s="62"/>
      <c r="G36" s="62"/>
      <c r="H36" s="62"/>
      <c r="I36" s="35"/>
      <c r="J36" s="62"/>
      <c r="K36" s="62"/>
      <c r="L36" s="62"/>
      <c r="M36" s="62"/>
      <c r="N36" s="119"/>
      <c r="O36" s="214">
        <f>SUM(Fluxo_de_Caixa_Janeiro31020[[#This Row],[Janeiro]:[Dezembro]])</f>
        <v>0</v>
      </c>
      <c r="P36" s="140" t="str">
        <f t="shared" si="2"/>
        <v>0,00%</v>
      </c>
      <c r="Q36" s="63" t="s">
        <v>240</v>
      </c>
      <c r="R36" s="32" t="str">
        <f>IF(Fluxo_de_Caixa_Janeiro31020[[#This Row],[% ACUMULADO  1º Trimes 2026]]&gt;=Fluxo_de_Caixa_Janeiro31020[[#This Row],[% ACUMULADO  1º Trimes 2025]],"VERDADEIRO","FALSO")</f>
        <v>VERDADEIRO</v>
      </c>
      <c r="V36" s="504">
        <v>0</v>
      </c>
      <c r="W36" s="579" t="s">
        <v>240</v>
      </c>
    </row>
    <row r="37" spans="1:23" hidden="1" x14ac:dyDescent="0.25">
      <c r="B37" s="365">
        <f>Fluxo_de_Caixa_Janeiro[[#This Row],[Fluxo de Caixa 2026 CTR]]</f>
        <v>0</v>
      </c>
      <c r="C37" s="35">
        <f>Fluxo_de_Caixa_Janeiro[[#This Row],[Janeiro]]</f>
        <v>0</v>
      </c>
      <c r="D37" s="62">
        <f>Fluxo_de_Caixa_Janeiro3[[#This Row],[Fevereiro]]</f>
        <v>0</v>
      </c>
      <c r="E37" s="62">
        <f>Fluxo_de_Caixa_Janeiro34[[#This Row],[Março]]</f>
        <v>0</v>
      </c>
      <c r="F37" s="62"/>
      <c r="G37" s="62"/>
      <c r="H37" s="62"/>
      <c r="I37" s="35"/>
      <c r="J37" s="62"/>
      <c r="K37" s="62"/>
      <c r="L37" s="62"/>
      <c r="M37" s="62"/>
      <c r="N37" s="119"/>
      <c r="O37" s="214">
        <f>SUM(Fluxo_de_Caixa_Janeiro31020[[#This Row],[Janeiro]:[Dezembro]])</f>
        <v>0</v>
      </c>
      <c r="P37" s="140" t="str">
        <f t="shared" si="2"/>
        <v>0,00%</v>
      </c>
      <c r="Q37" s="63" t="s">
        <v>240</v>
      </c>
      <c r="R37" s="32" t="str">
        <f>IF(Fluxo_de_Caixa_Janeiro31020[[#This Row],[% ACUMULADO  1º Trimes 2026]]&gt;=Fluxo_de_Caixa_Janeiro31020[[#This Row],[% ACUMULADO  1º Trimes 2025]],"VERDADEIRO","FALSO")</f>
        <v>VERDADEIRO</v>
      </c>
      <c r="V37" s="504">
        <v>0</v>
      </c>
      <c r="W37" s="579" t="s">
        <v>240</v>
      </c>
    </row>
    <row r="38" spans="1:23" hidden="1" x14ac:dyDescent="0.25">
      <c r="B38" s="362">
        <f>Fluxo_de_Caixa_Janeiro[[#This Row],[Fluxo de Caixa 2026 CTR]]</f>
        <v>0</v>
      </c>
      <c r="C38" s="357">
        <f>Fluxo_de_Caixa_Janeiro[[#This Row],[Janeiro]]</f>
        <v>0</v>
      </c>
      <c r="D38" s="306">
        <f>Fluxo_de_Caixa_Janeiro3[[#This Row],[Fevereiro]]</f>
        <v>0</v>
      </c>
      <c r="E38" s="306">
        <f>Fluxo_de_Caixa_Janeiro34[[#This Row],[Março]]</f>
        <v>0</v>
      </c>
      <c r="F38" s="306"/>
      <c r="G38" s="306"/>
      <c r="H38" s="306"/>
      <c r="I38" s="357"/>
      <c r="J38" s="306"/>
      <c r="K38" s="306"/>
      <c r="L38" s="306"/>
      <c r="M38" s="306"/>
      <c r="N38" s="360"/>
      <c r="O38" s="394">
        <f>SUM(Fluxo_de_Caixa_Janeiro31020[[#This Row],[Janeiro]:[Dezembro]])</f>
        <v>0</v>
      </c>
      <c r="P38" s="140" t="str">
        <f t="shared" si="2"/>
        <v>0,00%</v>
      </c>
      <c r="Q38" s="395" t="s">
        <v>240</v>
      </c>
      <c r="R38" s="32" t="str">
        <f>IF(Fluxo_de_Caixa_Janeiro31020[[#This Row],[% ACUMULADO  1º Trimes 2026]]&gt;=Fluxo_de_Caixa_Janeiro31020[[#This Row],[% ACUMULADO  1º Trimes 2025]],"VERDADEIRO","FALSO")</f>
        <v>VERDADEIRO</v>
      </c>
      <c r="V38" s="505">
        <v>0</v>
      </c>
      <c r="W38" s="579" t="s">
        <v>240</v>
      </c>
    </row>
    <row r="39" spans="1:23" hidden="1" x14ac:dyDescent="0.25">
      <c r="B39" s="364">
        <f>Fluxo_de_Caixa_Janeiro[[#This Row],[Fluxo de Caixa 2026 CTR]]</f>
        <v>0</v>
      </c>
      <c r="C39" s="357">
        <f>Fluxo_de_Caixa_Janeiro[[#This Row],[Janeiro]]</f>
        <v>0</v>
      </c>
      <c r="D39" s="306">
        <f>Fluxo_de_Caixa_Janeiro3[[#This Row],[Fevereiro]]</f>
        <v>0</v>
      </c>
      <c r="E39" s="306">
        <f>Fluxo_de_Caixa_Janeiro34[[#This Row],[Março]]</f>
        <v>0</v>
      </c>
      <c r="F39" s="306"/>
      <c r="G39" s="306"/>
      <c r="H39" s="306"/>
      <c r="I39" s="357"/>
      <c r="J39" s="306"/>
      <c r="K39" s="306"/>
      <c r="L39" s="306"/>
      <c r="M39" s="306"/>
      <c r="N39" s="360"/>
      <c r="O39" s="394">
        <f>SUM(Fluxo_de_Caixa_Janeiro31020[[#This Row],[Janeiro]:[Dezembro]])</f>
        <v>0</v>
      </c>
      <c r="P39" s="140" t="str">
        <f t="shared" si="2"/>
        <v>0,00%</v>
      </c>
      <c r="Q39" s="395" t="s">
        <v>240</v>
      </c>
      <c r="R39" s="32" t="str">
        <f>IF(Fluxo_de_Caixa_Janeiro31020[[#This Row],[% ACUMULADO  1º Trimes 2026]]&gt;=Fluxo_de_Caixa_Janeiro31020[[#This Row],[% ACUMULADO  1º Trimes 2025]],"VERDADEIRO","FALSO")</f>
        <v>VERDADEIRO</v>
      </c>
      <c r="V39" s="505">
        <v>0</v>
      </c>
      <c r="W39" s="579" t="s">
        <v>240</v>
      </c>
    </row>
    <row r="40" spans="1:23" hidden="1" x14ac:dyDescent="0.25">
      <c r="B40" s="362">
        <f>Fluxo_de_Caixa_Janeiro[[#This Row],[Fluxo de Caixa 2026 CTR]]</f>
        <v>0</v>
      </c>
      <c r="C40" s="358">
        <f>Fluxo_de_Caixa_Janeiro[[#This Row],[Janeiro]]</f>
        <v>0</v>
      </c>
      <c r="D40" s="359">
        <f>Fluxo_de_Caixa_Janeiro3[[#This Row],[Fevereiro]]</f>
        <v>0</v>
      </c>
      <c r="E40" s="359">
        <f>Fluxo_de_Caixa_Janeiro34[[#This Row],[Março]]</f>
        <v>0</v>
      </c>
      <c r="F40" s="359"/>
      <c r="G40" s="359"/>
      <c r="H40" s="359"/>
      <c r="I40" s="358"/>
      <c r="J40" s="359"/>
      <c r="K40" s="359"/>
      <c r="L40" s="359"/>
      <c r="M40" s="359"/>
      <c r="N40" s="361"/>
      <c r="O40" s="394">
        <f>SUM(Fluxo_de_Caixa_Janeiro31020[[#This Row],[Janeiro]:[Dezembro]])</f>
        <v>0</v>
      </c>
      <c r="P40" s="140" t="str">
        <f t="shared" si="2"/>
        <v>0,00%</v>
      </c>
      <c r="Q40" s="395" t="s">
        <v>240</v>
      </c>
      <c r="R40" s="32" t="str">
        <f>IF(Fluxo_de_Caixa_Janeiro31020[[#This Row],[% ACUMULADO  1º Trimes 2026]]&gt;=Fluxo_de_Caixa_Janeiro31020[[#This Row],[% ACUMULADO  1º Trimes 2025]],"VERDADEIRO","FALSO")</f>
        <v>VERDADEIRO</v>
      </c>
      <c r="V40" s="505">
        <v>0</v>
      </c>
      <c r="W40" s="579" t="s">
        <v>240</v>
      </c>
    </row>
    <row r="41" spans="1:23" hidden="1" x14ac:dyDescent="0.25">
      <c r="B41" s="363">
        <f>Fluxo_de_Caixa_Janeiro[[#This Row],[Fluxo de Caixa 2026 CTR]]</f>
        <v>0</v>
      </c>
      <c r="C41" s="358">
        <f>Fluxo_de_Caixa_Janeiro[[#This Row],[Janeiro]]</f>
        <v>0</v>
      </c>
      <c r="D41" s="359">
        <f>Fluxo_de_Caixa_Janeiro3[[#This Row],[Fevereiro]]</f>
        <v>0</v>
      </c>
      <c r="E41" s="359">
        <f>Fluxo_de_Caixa_Janeiro34[[#This Row],[Março]]</f>
        <v>0</v>
      </c>
      <c r="F41" s="359"/>
      <c r="G41" s="359"/>
      <c r="H41" s="359"/>
      <c r="I41" s="358"/>
      <c r="J41" s="359"/>
      <c r="K41" s="359"/>
      <c r="L41" s="359"/>
      <c r="M41" s="359"/>
      <c r="N41" s="361"/>
      <c r="O41" s="394">
        <f>SUM(Fluxo_de_Caixa_Janeiro31020[[#This Row],[Janeiro]:[Dezembro]])</f>
        <v>0</v>
      </c>
      <c r="P41" s="140" t="str">
        <f t="shared" si="2"/>
        <v>0,00%</v>
      </c>
      <c r="Q41" s="395" t="s">
        <v>240</v>
      </c>
      <c r="R41" s="32" t="str">
        <f>IF(Fluxo_de_Caixa_Janeiro31020[[#This Row],[% ACUMULADO  1º Trimes 2026]]&gt;=Fluxo_de_Caixa_Janeiro31020[[#This Row],[% ACUMULADO  1º Trimes 2025]],"VERDADEIRO","FALSO")</f>
        <v>VERDADEIRO</v>
      </c>
      <c r="V41" s="505">
        <v>0</v>
      </c>
      <c r="W41" s="579" t="s">
        <v>240</v>
      </c>
    </row>
    <row r="42" spans="1:23" hidden="1" x14ac:dyDescent="0.25">
      <c r="B42" s="363">
        <f>Fluxo_de_Caixa_Janeiro[[#This Row],[Fluxo de Caixa 2026 CTR]]</f>
        <v>0</v>
      </c>
      <c r="C42" s="358">
        <f>Fluxo_de_Caixa_Janeiro[[#This Row],[Janeiro]]</f>
        <v>0</v>
      </c>
      <c r="D42" s="359">
        <f>Fluxo_de_Caixa_Janeiro3[[#This Row],[Fevereiro]]</f>
        <v>0</v>
      </c>
      <c r="E42" s="359">
        <f>Fluxo_de_Caixa_Janeiro34[[#This Row],[Março]]</f>
        <v>0</v>
      </c>
      <c r="F42" s="359"/>
      <c r="G42" s="359"/>
      <c r="H42" s="359"/>
      <c r="I42" s="358"/>
      <c r="J42" s="359"/>
      <c r="K42" s="359"/>
      <c r="L42" s="359"/>
      <c r="M42" s="359"/>
      <c r="N42" s="361"/>
      <c r="O42" s="394">
        <f>SUM(Fluxo_de_Caixa_Janeiro31020[[#This Row],[Janeiro]:[Dezembro]])</f>
        <v>0</v>
      </c>
      <c r="P42" s="140" t="str">
        <f t="shared" si="2"/>
        <v>0,00%</v>
      </c>
      <c r="Q42" s="395" t="s">
        <v>240</v>
      </c>
      <c r="R42" s="32" t="str">
        <f>IF(Fluxo_de_Caixa_Janeiro31020[[#This Row],[% ACUMULADO  1º Trimes 2026]]&gt;=Fluxo_de_Caixa_Janeiro31020[[#This Row],[% ACUMULADO  1º Trimes 2025]],"VERDADEIRO","FALSO")</f>
        <v>VERDADEIRO</v>
      </c>
      <c r="V42" s="505">
        <v>0</v>
      </c>
      <c r="W42" s="579" t="s">
        <v>240</v>
      </c>
    </row>
    <row r="43" spans="1:23" hidden="1" x14ac:dyDescent="0.25">
      <c r="B43" s="364">
        <f>Fluxo_de_Caixa_Janeiro[[#This Row],[Fluxo de Caixa 2026 CTR]]</f>
        <v>0</v>
      </c>
      <c r="C43" s="358">
        <f>Fluxo_de_Caixa_Janeiro[[#This Row],[Janeiro]]</f>
        <v>0</v>
      </c>
      <c r="D43" s="359">
        <f>Fluxo_de_Caixa_Janeiro3[[#This Row],[Fevereiro]]</f>
        <v>0</v>
      </c>
      <c r="E43" s="359">
        <f>Fluxo_de_Caixa_Janeiro34[[#This Row],[Março]]</f>
        <v>0</v>
      </c>
      <c r="F43" s="359"/>
      <c r="G43" s="359"/>
      <c r="H43" s="359"/>
      <c r="I43" s="358"/>
      <c r="J43" s="359"/>
      <c r="K43" s="359"/>
      <c r="L43" s="359"/>
      <c r="M43" s="359"/>
      <c r="N43" s="361"/>
      <c r="O43" s="394">
        <f>SUM(Fluxo_de_Caixa_Janeiro31020[[#This Row],[Janeiro]:[Dezembro]])</f>
        <v>0</v>
      </c>
      <c r="P43" s="140" t="str">
        <f t="shared" si="2"/>
        <v>0,00%</v>
      </c>
      <c r="Q43" s="395" t="s">
        <v>240</v>
      </c>
      <c r="R43" s="32" t="str">
        <f>IF(Fluxo_de_Caixa_Janeiro31020[[#This Row],[% ACUMULADO  1º Trimes 2026]]&gt;=Fluxo_de_Caixa_Janeiro31020[[#This Row],[% ACUMULADO  1º Trimes 2025]],"VERDADEIRO","FALSO")</f>
        <v>VERDADEIRO</v>
      </c>
      <c r="V43" s="505">
        <v>0</v>
      </c>
      <c r="W43" s="579" t="s">
        <v>240</v>
      </c>
    </row>
    <row r="44" spans="1:23" hidden="1" x14ac:dyDescent="0.25">
      <c r="B44" s="364">
        <f>Fluxo_de_Caixa_Janeiro[[#This Row],[Fluxo de Caixa 2026 CTR]]</f>
        <v>0</v>
      </c>
      <c r="C44" s="358">
        <f>Fluxo_de_Caixa_Janeiro[[#This Row],[Janeiro]]</f>
        <v>0</v>
      </c>
      <c r="D44" s="359">
        <f>Fluxo_de_Caixa_Janeiro3[[#This Row],[Fevereiro]]</f>
        <v>0</v>
      </c>
      <c r="E44" s="359">
        <f>Fluxo_de_Caixa_Janeiro34[[#This Row],[Março]]</f>
        <v>0</v>
      </c>
      <c r="F44" s="359"/>
      <c r="G44" s="359"/>
      <c r="H44" s="359"/>
      <c r="I44" s="358"/>
      <c r="J44" s="359"/>
      <c r="K44" s="359"/>
      <c r="L44" s="359"/>
      <c r="M44" s="359"/>
      <c r="N44" s="361"/>
      <c r="O44" s="394">
        <f>SUM(Fluxo_de_Caixa_Janeiro31020[[#This Row],[Janeiro]:[Dezembro]])</f>
        <v>0</v>
      </c>
      <c r="P44" s="140" t="str">
        <f t="shared" si="2"/>
        <v>0,00%</v>
      </c>
      <c r="Q44" s="395" t="s">
        <v>240</v>
      </c>
      <c r="R44" s="32" t="str">
        <f>IF(Fluxo_de_Caixa_Janeiro31020[[#This Row],[% ACUMULADO  1º Trimes 2026]]&gt;=Fluxo_de_Caixa_Janeiro31020[[#This Row],[% ACUMULADO  1º Trimes 2025]],"VERDADEIRO","FALSO")</f>
        <v>VERDADEIRO</v>
      </c>
      <c r="V44" s="505">
        <v>0</v>
      </c>
      <c r="W44" s="579" t="s">
        <v>240</v>
      </c>
    </row>
    <row r="45" spans="1:23" hidden="1" x14ac:dyDescent="0.25">
      <c r="B45" s="51">
        <f>Fluxo_de_Caixa_Janeiro[[#This Row],[Fluxo de Caixa 2026 CTR]]</f>
        <v>0</v>
      </c>
      <c r="C45" s="35">
        <f>Fluxo_de_Caixa_Janeiro[[#This Row],[Janeiro]]</f>
        <v>0</v>
      </c>
      <c r="D45" s="62">
        <f>Fluxo_de_Caixa_Janeiro3[[#This Row],[Fevereiro]]</f>
        <v>0</v>
      </c>
      <c r="E45" s="62">
        <f>Fluxo_de_Caixa_Janeiro34[[#This Row],[Março]]</f>
        <v>0</v>
      </c>
      <c r="F45" s="62"/>
      <c r="G45" s="62"/>
      <c r="H45" s="62"/>
      <c r="I45" s="35"/>
      <c r="J45" s="62"/>
      <c r="K45" s="62"/>
      <c r="L45" s="62"/>
      <c r="M45" s="62"/>
      <c r="N45" s="119"/>
      <c r="O45" s="214">
        <f>SUM(Fluxo_de_Caixa_Janeiro31020[[#This Row],[Janeiro]:[Dezembro]])</f>
        <v>0</v>
      </c>
      <c r="P45" s="140" t="str">
        <f t="shared" si="2"/>
        <v>0,00%</v>
      </c>
      <c r="Q45" s="63" t="s">
        <v>240</v>
      </c>
      <c r="R45" s="32" t="str">
        <f>IF(Fluxo_de_Caixa_Janeiro31020[[#This Row],[% ACUMULADO  1º Trimes 2026]]&gt;=Fluxo_de_Caixa_Janeiro31020[[#This Row],[% ACUMULADO  1º Trimes 2025]],"VERDADEIRO","FALSO")</f>
        <v>VERDADEIRO</v>
      </c>
      <c r="V45" s="504">
        <v>0</v>
      </c>
      <c r="W45" s="579" t="s">
        <v>240</v>
      </c>
    </row>
    <row r="46" spans="1:23" hidden="1" x14ac:dyDescent="0.25">
      <c r="B46" s="51">
        <f>Fluxo_de_Caixa_Janeiro[[#This Row],[Fluxo de Caixa 2026 CTR]]</f>
        <v>0</v>
      </c>
      <c r="C46" s="35">
        <f>Fluxo_de_Caixa_Janeiro[[#This Row],[Janeiro]]</f>
        <v>0</v>
      </c>
      <c r="D46" s="62">
        <f>Fluxo_de_Caixa_Janeiro3[[#This Row],[Fevereiro]]</f>
        <v>0</v>
      </c>
      <c r="E46" s="62">
        <f>Fluxo_de_Caixa_Janeiro34[[#This Row],[Março]]</f>
        <v>0</v>
      </c>
      <c r="F46" s="62"/>
      <c r="G46" s="62"/>
      <c r="H46" s="62"/>
      <c r="I46" s="35"/>
      <c r="J46" s="62"/>
      <c r="K46" s="62"/>
      <c r="L46" s="62"/>
      <c r="M46" s="62"/>
      <c r="N46" s="119"/>
      <c r="O46" s="214">
        <f>SUM(Fluxo_de_Caixa_Janeiro31020[[#This Row],[Janeiro]:[Dezembro]])</f>
        <v>0</v>
      </c>
      <c r="P46" s="140" t="str">
        <f t="shared" si="2"/>
        <v>0,00%</v>
      </c>
      <c r="Q46" s="63" t="s">
        <v>240</v>
      </c>
      <c r="R46" s="32" t="str">
        <f>IF(Fluxo_de_Caixa_Janeiro31020[[#This Row],[% ACUMULADO  1º Trimes 2026]]&gt;=Fluxo_de_Caixa_Janeiro31020[[#This Row],[% ACUMULADO  1º Trimes 2025]],"VERDADEIRO","FALSO")</f>
        <v>VERDADEIRO</v>
      </c>
      <c r="V46" s="504">
        <v>0</v>
      </c>
      <c r="W46" s="579" t="s">
        <v>240</v>
      </c>
    </row>
    <row r="47" spans="1:23" ht="15.75" hidden="1" thickBot="1" x14ac:dyDescent="0.3">
      <c r="B47" s="51">
        <f>Fluxo_de_Caixa_Janeiro[[#This Row],[Fluxo de Caixa 2026 CTR]]</f>
        <v>0</v>
      </c>
      <c r="C47" s="36">
        <f>Fluxo_de_Caixa_Janeiro[[#This Row],[Janeiro]]</f>
        <v>0</v>
      </c>
      <c r="D47" s="82">
        <f>Fluxo_de_Caixa_Janeiro3[[#This Row],[Fevereiro]]</f>
        <v>0</v>
      </c>
      <c r="E47" s="82">
        <f>Fluxo_de_Caixa_Janeiro34[[#This Row],[Março]]</f>
        <v>0</v>
      </c>
      <c r="F47" s="82"/>
      <c r="G47" s="82"/>
      <c r="H47" s="82"/>
      <c r="I47" s="36"/>
      <c r="J47" s="82"/>
      <c r="K47" s="82"/>
      <c r="L47" s="82"/>
      <c r="M47" s="82"/>
      <c r="N47" s="120"/>
      <c r="O47" s="215">
        <f>SUM(Fluxo_de_Caixa_Janeiro31020[[#This Row],[Janeiro]:[Dezembro]])</f>
        <v>0</v>
      </c>
      <c r="P47" s="141" t="str">
        <f t="shared" si="2"/>
        <v>0,00%</v>
      </c>
      <c r="Q47" s="86" t="s">
        <v>240</v>
      </c>
      <c r="R47" s="32" t="str">
        <f>IF(Fluxo_de_Caixa_Janeiro31020[[#This Row],[% ACUMULADO  1º Trimes 2026]]&gt;=Fluxo_de_Caixa_Janeiro31020[[#This Row],[% ACUMULADO  1º Trimes 2025]],"VERDADEIRO","FALSO")</f>
        <v>VERDADEIRO</v>
      </c>
      <c r="V47" s="506">
        <v>0</v>
      </c>
      <c r="W47" s="580" t="s">
        <v>240</v>
      </c>
    </row>
    <row r="48" spans="1:23" s="1" customFormat="1" ht="24" thickBot="1" x14ac:dyDescent="0.4">
      <c r="A48" s="11" t="s">
        <v>55</v>
      </c>
      <c r="B48" s="48" t="str">
        <f>Fluxo_de_Caixa_Janeiro[[#This Row],[Fluxo de Caixa 2026 CTR]]</f>
        <v>1.5. Receita de Garantias</v>
      </c>
      <c r="C48" s="38">
        <f>Fluxo_de_Caixa_Janeiro[[#This Row],[Janeiro]]</f>
        <v>0</v>
      </c>
      <c r="D48" s="87">
        <f>Fluxo_de_Caixa_Janeiro3[[#This Row],[Fevereiro]]</f>
        <v>0</v>
      </c>
      <c r="E48" s="87">
        <f>Fluxo_de_Caixa_Janeiro34[[#This Row],[Março]]</f>
        <v>0</v>
      </c>
      <c r="F48" s="87"/>
      <c r="G48" s="87"/>
      <c r="H48" s="87"/>
      <c r="I48" s="38"/>
      <c r="J48" s="87"/>
      <c r="K48" s="87"/>
      <c r="L48" s="87"/>
      <c r="M48" s="87"/>
      <c r="N48" s="125"/>
      <c r="O48" s="216">
        <f>SUM(Fluxo_de_Caixa_Janeiro31020[[#This Row],[Janeiro]:[Dezembro]])</f>
        <v>0</v>
      </c>
      <c r="P48" s="19">
        <f>SUM(P49:P51)</f>
        <v>0</v>
      </c>
      <c r="Q48" s="309">
        <v>0</v>
      </c>
      <c r="R48" s="32" t="str">
        <f>IF(Fluxo_de_Caixa_Janeiro31020[[#This Row],[% ACUMULADO  1º Trimes 2026]]&gt;=Fluxo_de_Caixa_Janeiro31020[[#This Row],[% ACUMULADO  1º Trimes 2025]],"VERDADEIRO","FALSO")</f>
        <v>VERDADEIRO</v>
      </c>
      <c r="T48" s="496"/>
      <c r="V48" s="507">
        <v>0</v>
      </c>
      <c r="W48" s="581">
        <v>0</v>
      </c>
    </row>
    <row r="49" spans="1:23" x14ac:dyDescent="0.25">
      <c r="B49" s="49" t="str">
        <f>Fluxo_de_Caixa_Janeiro[[#This Row],[Fluxo de Caixa 2026 CTR]]</f>
        <v>1.2.01. RECEITA EM DINHEIRO</v>
      </c>
      <c r="C49" s="41">
        <f>Fluxo_de_Caixa_Janeiro[[#This Row],[Janeiro]]</f>
        <v>0</v>
      </c>
      <c r="D49" s="81">
        <f>Fluxo_de_Caixa_Janeiro3[[#This Row],[Fevereiro]]</f>
        <v>0</v>
      </c>
      <c r="E49" s="81">
        <f>Fluxo_de_Caixa_Janeiro34[[#This Row],[Março]]</f>
        <v>0</v>
      </c>
      <c r="F49" s="81"/>
      <c r="G49" s="81"/>
      <c r="H49" s="81"/>
      <c r="I49" s="41"/>
      <c r="J49" s="81"/>
      <c r="K49" s="81"/>
      <c r="L49" s="81"/>
      <c r="M49" s="81"/>
      <c r="N49" s="118"/>
      <c r="O49" s="213">
        <f>SUM(Fluxo_de_Caixa_Janeiro31020[[#This Row],[Janeiro]:[Dezembro]])</f>
        <v>0</v>
      </c>
      <c r="P49" s="29" t="str">
        <f>IF(O49=0,"0,00%",O49/$O$332)</f>
        <v>0,00%</v>
      </c>
      <c r="Q49" s="63" t="s">
        <v>240</v>
      </c>
      <c r="R49" s="32" t="str">
        <f>IF(Fluxo_de_Caixa_Janeiro31020[[#This Row],[% ACUMULADO  1º Trimes 2026]]&gt;=Fluxo_de_Caixa_Janeiro31020[[#This Row],[% ACUMULADO  1º Trimes 2025]],"VERDADEIRO","FALSO")</f>
        <v>VERDADEIRO</v>
      </c>
      <c r="T49" s="287"/>
      <c r="V49" s="503">
        <v>0</v>
      </c>
      <c r="W49" s="578" t="s">
        <v>240</v>
      </c>
    </row>
    <row r="50" spans="1:23" ht="15.75" thickBot="1" x14ac:dyDescent="0.3">
      <c r="B50" s="50" t="str">
        <f>Fluxo_de_Caixa_Janeiro[[#This Row],[Fluxo de Caixa 2026 CTR]]</f>
        <v xml:space="preserve">1.2.02. RECEITA EM MERCADORIA </v>
      </c>
      <c r="C50" s="35">
        <f>Fluxo_de_Caixa_Janeiro[[#This Row],[Janeiro]]</f>
        <v>0</v>
      </c>
      <c r="D50" s="62">
        <f>Fluxo_de_Caixa_Janeiro3[[#This Row],[Fevereiro]]</f>
        <v>0</v>
      </c>
      <c r="E50" s="62">
        <f>Fluxo_de_Caixa_Janeiro34[[#This Row],[Março]]</f>
        <v>0</v>
      </c>
      <c r="F50" s="62"/>
      <c r="G50" s="62"/>
      <c r="H50" s="62"/>
      <c r="I50" s="35"/>
      <c r="J50" s="62"/>
      <c r="K50" s="62"/>
      <c r="L50" s="62"/>
      <c r="M50" s="62"/>
      <c r="N50" s="119"/>
      <c r="O50" s="214">
        <f>SUM(Fluxo_de_Caixa_Janeiro31020[[#This Row],[Janeiro]:[Dezembro]])</f>
        <v>0</v>
      </c>
      <c r="P50" s="140" t="str">
        <f>IF(O50=0,"0,00%",O50/$O$332)</f>
        <v>0,00%</v>
      </c>
      <c r="Q50" s="63" t="s">
        <v>240</v>
      </c>
      <c r="R50" s="32" t="str">
        <f>IF(Fluxo_de_Caixa_Janeiro31020[[#This Row],[% ACUMULADO  1º Trimes 2026]]&gt;=Fluxo_de_Caixa_Janeiro31020[[#This Row],[% ACUMULADO  1º Trimes 2025]],"VERDADEIRO","FALSO")</f>
        <v>VERDADEIRO</v>
      </c>
      <c r="T50" s="287"/>
      <c r="V50" s="504">
        <v>0</v>
      </c>
      <c r="W50" s="579" t="s">
        <v>240</v>
      </c>
    </row>
    <row r="51" spans="1:23" ht="15.75" hidden="1" thickBot="1" x14ac:dyDescent="0.3">
      <c r="B51" s="58">
        <f>Fluxo_de_Caixa_Janeiro[[#This Row],[Fluxo de Caixa 2026 CTR]]</f>
        <v>0</v>
      </c>
      <c r="C51" s="36">
        <f>Fluxo_de_Caixa_Janeiro[[#This Row],[Janeiro]]</f>
        <v>0</v>
      </c>
      <c r="D51" s="82">
        <f>Fluxo_de_Caixa_Janeiro3[[#This Row],[Fevereiro]]</f>
        <v>0</v>
      </c>
      <c r="E51" s="82">
        <f>Fluxo_de_Caixa_Janeiro34[[#This Row],[Março]]</f>
        <v>0</v>
      </c>
      <c r="F51" s="82"/>
      <c r="G51" s="82"/>
      <c r="H51" s="82"/>
      <c r="I51" s="36"/>
      <c r="J51" s="82"/>
      <c r="K51" s="82"/>
      <c r="L51" s="82"/>
      <c r="M51" s="82"/>
      <c r="N51" s="120"/>
      <c r="O51" s="215">
        <f>SUM(Fluxo_de_Caixa_Janeiro31020[[#This Row],[Janeiro]:[Dezembro]])</f>
        <v>0</v>
      </c>
      <c r="P51" s="142" t="str">
        <f>IF(O51=0,"0,00%",O51/$O$332)</f>
        <v>0,00%</v>
      </c>
      <c r="Q51" s="86" t="s">
        <v>240</v>
      </c>
      <c r="R51" s="32" t="str">
        <f>IF(Fluxo_de_Caixa_Janeiro31020[[#This Row],[% ACUMULADO  1º Trimes 2026]]&gt;=Fluxo_de_Caixa_Janeiro31020[[#This Row],[% ACUMULADO  1º Trimes 2025]],"VERDADEIRO","FALSO")</f>
        <v>VERDADEIRO</v>
      </c>
      <c r="V51" s="506">
        <v>0</v>
      </c>
      <c r="W51" s="582" t="s">
        <v>240</v>
      </c>
    </row>
    <row r="52" spans="1:23" s="2" customFormat="1" ht="24" thickBot="1" x14ac:dyDescent="0.4">
      <c r="A52" s="12" t="s">
        <v>22</v>
      </c>
      <c r="B52" s="53" t="str">
        <f>Fluxo_de_Caixa_Janeiro[[#This Row],[Fluxo de Caixa 2026 CTR]]</f>
        <v>2.1. Despesa Com Custo de Aquisição</v>
      </c>
      <c r="C52" s="42">
        <f>Fluxo_de_Caixa_Janeiro[[#This Row],[Janeiro]]</f>
        <v>-460642.66</v>
      </c>
      <c r="D52" s="88">
        <f>Fluxo_de_Caixa_Janeiro3[[#This Row],[Fevereiro]]</f>
        <v>-419540.11</v>
      </c>
      <c r="E52" s="88">
        <f>Fluxo_de_Caixa_Janeiro34[[#This Row],[Março]]</f>
        <v>-456490.45000000007</v>
      </c>
      <c r="F52" s="88"/>
      <c r="G52" s="88"/>
      <c r="H52" s="88"/>
      <c r="I52" s="42"/>
      <c r="J52" s="88"/>
      <c r="K52" s="88"/>
      <c r="L52" s="88"/>
      <c r="M52" s="88"/>
      <c r="N52" s="126"/>
      <c r="O52" s="217">
        <f>SUM(Fluxo_de_Caixa_Janeiro31020[[#This Row],[Janeiro]:[Dezembro]])</f>
        <v>-1336673.2200000002</v>
      </c>
      <c r="P52" s="21">
        <f>-IFERROR(O52/$O$27,"0,00")</f>
        <v>0.46477268045456405</v>
      </c>
      <c r="Q52" s="310">
        <v>0.6597928896659645</v>
      </c>
      <c r="R52" s="32" t="str">
        <f>IF(Fluxo_de_Caixa_Janeiro31020[[#This Row],[% ACUMULADO  1º Trimes 2026]]&lt;=Fluxo_de_Caixa_Janeiro31020[[#This Row],[% ACUMULADO  1º Trimes 2025]],"VERDADEIRO","FALSO")</f>
        <v>VERDADEIRO</v>
      </c>
      <c r="S52" s="662"/>
      <c r="V52" s="508">
        <v>-1775141.06</v>
      </c>
      <c r="W52" s="583">
        <v>0.6597928896659645</v>
      </c>
    </row>
    <row r="53" spans="1:23" x14ac:dyDescent="0.25">
      <c r="B53" s="166" t="str">
        <f>Fluxo_de_Caixa_Janeiro[[#This Row],[Fluxo de Caixa 2026 CTR]]</f>
        <v>2.1.01.FORNECEDORES DE MERCADORIAS REVENDA</v>
      </c>
      <c r="C53" s="41">
        <f>Fluxo_de_Caixa_Janeiro[[#This Row],[Janeiro]]</f>
        <v>450059.19</v>
      </c>
      <c r="D53" s="81">
        <f>Fluxo_de_Caixa_Janeiro3[[#This Row],[Fevereiro]]</f>
        <v>400361.57</v>
      </c>
      <c r="E53" s="81">
        <f>Fluxo_de_Caixa_Janeiro34[[#This Row],[Março]]</f>
        <v>449846.92000000004</v>
      </c>
      <c r="F53" s="81"/>
      <c r="G53" s="81"/>
      <c r="H53" s="81"/>
      <c r="I53" s="41"/>
      <c r="J53" s="81"/>
      <c r="K53" s="81"/>
      <c r="L53" s="81"/>
      <c r="M53" s="81"/>
      <c r="N53" s="118"/>
      <c r="O53" s="218">
        <f>SUM(Fluxo_de_Caixa_Janeiro31020[[#This Row],[Janeiro]:[Dezembro]])</f>
        <v>1300267.6800000002</v>
      </c>
      <c r="P53" s="192">
        <f t="shared" ref="P53:P59" si="3">IFERROR(O53/$O$27,"0,00%")</f>
        <v>0.45211416365627294</v>
      </c>
      <c r="Q53" s="311">
        <v>0.63534818614897848</v>
      </c>
      <c r="R53" s="32" t="str">
        <f>IF(Fluxo_de_Caixa_Janeiro31020[[#This Row],[% ACUMULADO  1º Trimes 2026]]&lt;=Fluxo_de_Caixa_Janeiro31020[[#This Row],[% ACUMULADO  1º Trimes 2025]],"VERDADEIRO","FALSO")</f>
        <v>VERDADEIRO</v>
      </c>
      <c r="T53" s="287"/>
      <c r="V53" s="509">
        <v>1709373.7600000002</v>
      </c>
      <c r="W53" s="584">
        <v>0.63534818614897848</v>
      </c>
    </row>
    <row r="54" spans="1:23" x14ac:dyDescent="0.25">
      <c r="B54" s="52" t="str">
        <f>Fluxo_de_Caixa_Janeiro[[#This Row],[Fluxo de Caixa 2026 CTR]]</f>
        <v>2.1.02.ADIANT. FORNEC. MERCA. REVENDA</v>
      </c>
      <c r="C54" s="35">
        <f>Fluxo_de_Caixa_Janeiro[[#This Row],[Janeiro]]</f>
        <v>0</v>
      </c>
      <c r="D54" s="62">
        <f>Fluxo_de_Caixa_Janeiro3[[#This Row],[Fevereiro]]</f>
        <v>0</v>
      </c>
      <c r="E54" s="62">
        <f>Fluxo_de_Caixa_Janeiro34[[#This Row],[Março]]</f>
        <v>0</v>
      </c>
      <c r="F54" s="62"/>
      <c r="G54" s="62"/>
      <c r="H54" s="62"/>
      <c r="I54" s="35"/>
      <c r="J54" s="62"/>
      <c r="K54" s="62"/>
      <c r="L54" s="62"/>
      <c r="M54" s="62"/>
      <c r="N54" s="119"/>
      <c r="O54" s="219">
        <f>SUM(Fluxo_de_Caixa_Janeiro31020[[#This Row],[Janeiro]:[Dezembro]])</f>
        <v>0</v>
      </c>
      <c r="P54" s="192">
        <f t="shared" si="3"/>
        <v>0</v>
      </c>
      <c r="Q54" s="311">
        <v>0</v>
      </c>
      <c r="R54" s="32" t="str">
        <f>IF(Fluxo_de_Caixa_Janeiro31020[[#This Row],[% ACUMULADO  1º Trimes 2026]]&lt;=Fluxo_de_Caixa_Janeiro31020[[#This Row],[% ACUMULADO  1º Trimes 2025]],"VERDADEIRO","FALSO")</f>
        <v>VERDADEIRO</v>
      </c>
      <c r="V54" s="510">
        <v>0</v>
      </c>
      <c r="W54" s="584">
        <v>0</v>
      </c>
    </row>
    <row r="55" spans="1:23" x14ac:dyDescent="0.25">
      <c r="B55" s="52" t="str">
        <f>Fluxo_de_Caixa_Janeiro[[#This Row],[Fluxo de Caixa 2026 CTR]]</f>
        <v>2.1.03.TRANSPORTADORA MERCA. REVENDA</v>
      </c>
      <c r="C55" s="35">
        <f>Fluxo_de_Caixa_Janeiro[[#This Row],[Janeiro]]</f>
        <v>10103.469999999999</v>
      </c>
      <c r="D55" s="62">
        <f>Fluxo_de_Caixa_Janeiro3[[#This Row],[Fevereiro]]</f>
        <v>19178.54</v>
      </c>
      <c r="E55" s="62">
        <f>Fluxo_de_Caixa_Janeiro34[[#This Row],[Março]]</f>
        <v>6643.53</v>
      </c>
      <c r="F55" s="62"/>
      <c r="G55" s="62"/>
      <c r="H55" s="62"/>
      <c r="I55" s="35"/>
      <c r="J55" s="62"/>
      <c r="K55" s="62"/>
      <c r="L55" s="62"/>
      <c r="M55" s="62"/>
      <c r="N55" s="119"/>
      <c r="O55" s="219">
        <f>SUM(Fluxo_de_Caixa_Janeiro31020[[#This Row],[Janeiro]:[Dezembro]])</f>
        <v>35925.54</v>
      </c>
      <c r="P55" s="192">
        <f t="shared" si="3"/>
        <v>1.249161670387745E-2</v>
      </c>
      <c r="Q55" s="311">
        <v>2.4186791457795002E-2</v>
      </c>
      <c r="R55" s="32" t="str">
        <f>IF(Fluxo_de_Caixa_Janeiro31020[[#This Row],[% ACUMULADO  1º Trimes 2026]]&lt;=Fluxo_de_Caixa_Janeiro31020[[#This Row],[% ACUMULADO  1º Trimes 2025]],"VERDADEIRO","FALSO")</f>
        <v>VERDADEIRO</v>
      </c>
      <c r="V55" s="510">
        <v>65073.399999999994</v>
      </c>
      <c r="W55" s="584">
        <v>2.4186791457795002E-2</v>
      </c>
    </row>
    <row r="56" spans="1:23" x14ac:dyDescent="0.25">
      <c r="B56" s="52" t="str">
        <f>Fluxo_de_Caixa_Janeiro[[#This Row],[Fluxo de Caixa 2026 CTR]]</f>
        <v>2.1.04.OUTROS CUSTOS DE MERC.REVENDA</v>
      </c>
      <c r="C56" s="35">
        <f>Fluxo_de_Caixa_Janeiro[[#This Row],[Janeiro]]</f>
        <v>480</v>
      </c>
      <c r="D56" s="62">
        <f>Fluxo_de_Caixa_Janeiro3[[#This Row],[Fevereiro]]</f>
        <v>0</v>
      </c>
      <c r="E56" s="62">
        <f>Fluxo_de_Caixa_Janeiro34[[#This Row],[Março]]</f>
        <v>0</v>
      </c>
      <c r="F56" s="62"/>
      <c r="G56" s="62"/>
      <c r="H56" s="62"/>
      <c r="I56" s="35"/>
      <c r="J56" s="62"/>
      <c r="K56" s="62"/>
      <c r="L56" s="62"/>
      <c r="M56" s="62"/>
      <c r="N56" s="119"/>
      <c r="O56" s="219">
        <f>SUM(Fluxo_de_Caixa_Janeiro31020[[#This Row],[Janeiro]:[Dezembro]])</f>
        <v>480</v>
      </c>
      <c r="P56" s="192">
        <f t="shared" si="3"/>
        <v>1.6690009441364489E-4</v>
      </c>
      <c r="Q56" s="311">
        <v>2.5791205919106661E-4</v>
      </c>
      <c r="R56" s="32" t="str">
        <f>IF(Fluxo_de_Caixa_Janeiro31020[[#This Row],[% ACUMULADO  1º Trimes 2026]]&lt;=Fluxo_de_Caixa_Janeiro31020[[#This Row],[% ACUMULADO  1º Trimes 2025]],"VERDADEIRO","FALSO")</f>
        <v>VERDADEIRO</v>
      </c>
      <c r="V56" s="510">
        <v>693.9</v>
      </c>
      <c r="W56" s="584">
        <v>2.5791205919106661E-4</v>
      </c>
    </row>
    <row r="57" spans="1:23" ht="15.75" thickBot="1" x14ac:dyDescent="0.3">
      <c r="B57" s="52" t="str">
        <f>Fluxo_de_Caixa_Janeiro[[#This Row],[Fluxo de Caixa 2026 CTR]]</f>
        <v>2.1.05.TRANSFE DE MERCAD REVENDA MATRIZ</v>
      </c>
      <c r="C57" s="35">
        <f>Fluxo_de_Caixa_Janeiro[[#This Row],[Janeiro]]</f>
        <v>0</v>
      </c>
      <c r="D57" s="62">
        <f>Fluxo_de_Caixa_Janeiro3[[#This Row],[Fevereiro]]</f>
        <v>0</v>
      </c>
      <c r="E57" s="62">
        <f>Fluxo_de_Caixa_Janeiro34[[#This Row],[Março]]</f>
        <v>0</v>
      </c>
      <c r="F57" s="62"/>
      <c r="G57" s="62"/>
      <c r="H57" s="62"/>
      <c r="I57" s="35"/>
      <c r="J57" s="62"/>
      <c r="K57" s="62"/>
      <c r="L57" s="62"/>
      <c r="M57" s="62"/>
      <c r="N57" s="119"/>
      <c r="O57" s="219">
        <f>SUM(Fluxo_de_Caixa_Janeiro31020[[#This Row],[Janeiro]:[Dezembro]])</f>
        <v>0</v>
      </c>
      <c r="P57" s="192">
        <f t="shared" si="3"/>
        <v>0</v>
      </c>
      <c r="Q57" s="311">
        <v>0</v>
      </c>
      <c r="R57" s="32" t="str">
        <f>IF(Fluxo_de_Caixa_Janeiro31020[[#This Row],[% ACUMULADO  1º Trimes 2026]]&lt;=Fluxo_de_Caixa_Janeiro31020[[#This Row],[% ACUMULADO  1º Trimes 2025]],"VERDADEIRO","FALSO")</f>
        <v>VERDADEIRO</v>
      </c>
      <c r="V57" s="510">
        <v>0</v>
      </c>
      <c r="W57" s="584">
        <v>0</v>
      </c>
    </row>
    <row r="58" spans="1:23" hidden="1" x14ac:dyDescent="0.25">
      <c r="B58" s="52">
        <f>Fluxo_de_Caixa_Janeiro[[#This Row],[Fluxo de Caixa 2026 CTR]]</f>
        <v>0</v>
      </c>
      <c r="C58" s="35">
        <f>Fluxo_de_Caixa_Janeiro[[#This Row],[Janeiro]]</f>
        <v>0</v>
      </c>
      <c r="D58" s="62">
        <f>Fluxo_de_Caixa_Janeiro3[[#This Row],[Fevereiro]]</f>
        <v>0</v>
      </c>
      <c r="E58" s="62">
        <f>Fluxo_de_Caixa_Janeiro34[[#This Row],[Março]]</f>
        <v>0</v>
      </c>
      <c r="F58" s="62"/>
      <c r="G58" s="62"/>
      <c r="H58" s="62"/>
      <c r="I58" s="35"/>
      <c r="J58" s="62"/>
      <c r="K58" s="62"/>
      <c r="L58" s="62"/>
      <c r="M58" s="62"/>
      <c r="N58" s="119"/>
      <c r="O58" s="219">
        <f>SUM(Fluxo_de_Caixa_Janeiro31020[[#This Row],[Janeiro]:[Dezembro]])</f>
        <v>0</v>
      </c>
      <c r="P58" s="192">
        <f t="shared" si="3"/>
        <v>0</v>
      </c>
      <c r="Q58" s="311">
        <v>0</v>
      </c>
      <c r="R58" s="32" t="str">
        <f>IF(Fluxo_de_Caixa_Janeiro31020[[#This Row],[% ACUMULADO  1º Trimes 2026]]&lt;=Fluxo_de_Caixa_Janeiro31020[[#This Row],[% ACUMULADO  1º Trimes 2025]],"VERDADEIRO","FALSO")</f>
        <v>VERDADEIRO</v>
      </c>
      <c r="V58" s="510">
        <v>0</v>
      </c>
      <c r="W58" s="584">
        <v>0</v>
      </c>
    </row>
    <row r="59" spans="1:23" ht="15.75" hidden="1" thickBot="1" x14ac:dyDescent="0.3">
      <c r="B59" s="167">
        <f>Fluxo_de_Caixa_Janeiro[[#This Row],[Fluxo de Caixa 2026 CTR]]</f>
        <v>0</v>
      </c>
      <c r="C59" s="36">
        <f>Fluxo_de_Caixa_Janeiro[[#This Row],[Janeiro]]</f>
        <v>0</v>
      </c>
      <c r="D59" s="82">
        <f>Fluxo_de_Caixa_Janeiro3[[#This Row],[Fevereiro]]</f>
        <v>0</v>
      </c>
      <c r="E59" s="82">
        <f>Fluxo_de_Caixa_Janeiro34[[#This Row],[Março]]</f>
        <v>0</v>
      </c>
      <c r="F59" s="82"/>
      <c r="G59" s="82"/>
      <c r="H59" s="82"/>
      <c r="I59" s="36"/>
      <c r="J59" s="82"/>
      <c r="K59" s="82"/>
      <c r="L59" s="82"/>
      <c r="M59" s="82"/>
      <c r="N59" s="120"/>
      <c r="O59" s="220">
        <f>SUM(Fluxo_de_Caixa_Janeiro31020[[#This Row],[Janeiro]:[Dezembro]])</f>
        <v>0</v>
      </c>
      <c r="P59" s="192">
        <f t="shared" si="3"/>
        <v>0</v>
      </c>
      <c r="Q59" s="542">
        <v>0</v>
      </c>
      <c r="R59" s="32" t="str">
        <f>IF(Fluxo_de_Caixa_Janeiro31020[[#This Row],[% ACUMULADO  1º Trimes 2026]]&lt;=Fluxo_de_Caixa_Janeiro31020[[#This Row],[% ACUMULADO  1º Trimes 2025]],"VERDADEIRO","FALSO")</f>
        <v>VERDADEIRO</v>
      </c>
      <c r="V59" s="511">
        <v>0</v>
      </c>
      <c r="W59" s="584">
        <v>0</v>
      </c>
    </row>
    <row r="60" spans="1:23" s="2" customFormat="1" ht="24" thickBot="1" x14ac:dyDescent="0.4">
      <c r="A60" s="12" t="s">
        <v>10</v>
      </c>
      <c r="B60" s="53" t="str">
        <f>Fluxo_de_Caixa_Janeiro[[#This Row],[Fluxo de Caixa 2026 CTR]]</f>
        <v>2.2. Inadimplência e Perdas</v>
      </c>
      <c r="C60" s="42">
        <f>Fluxo_de_Caixa_Janeiro[[#This Row],[Janeiro]]</f>
        <v>0</v>
      </c>
      <c r="D60" s="88">
        <f>Fluxo_de_Caixa_Janeiro3[[#This Row],[Fevereiro]]</f>
        <v>-57235.670000000006</v>
      </c>
      <c r="E60" s="88">
        <f>Fluxo_de_Caixa_Janeiro34[[#This Row],[Março]]</f>
        <v>0</v>
      </c>
      <c r="F60" s="88"/>
      <c r="G60" s="88"/>
      <c r="H60" s="88"/>
      <c r="I60" s="42"/>
      <c r="J60" s="88"/>
      <c r="K60" s="88"/>
      <c r="L60" s="88"/>
      <c r="M60" s="88"/>
      <c r="N60" s="126"/>
      <c r="O60" s="217">
        <f>SUM(Fluxo_de_Caixa_Janeiro31020[[#This Row],[Janeiro]:[Dezembro]])</f>
        <v>-57235.670000000006</v>
      </c>
      <c r="P60" s="21">
        <f>-IFERROR(O60/$O$27,"0,00")</f>
        <v>1.9901330680892129E-2</v>
      </c>
      <c r="Q60" s="310">
        <v>0</v>
      </c>
      <c r="R60" s="32" t="str">
        <f>IF(Fluxo_de_Caixa_Janeiro31020[[#This Row],[% ACUMULADO  1º Trimes 2026]]&lt;=Fluxo_de_Caixa_Janeiro31020[[#This Row],[% ACUMULADO  1º Trimes 2025]],"VERDADEIRO","FALSO")</f>
        <v>FALSO</v>
      </c>
      <c r="V60" s="508">
        <v>0</v>
      </c>
      <c r="W60" s="583">
        <v>0</v>
      </c>
    </row>
    <row r="61" spans="1:23" x14ac:dyDescent="0.25">
      <c r="B61" s="166" t="str">
        <f>Fluxo_de_Caixa_Janeiro[[#This Row],[Fluxo de Caixa 2026 CTR]]</f>
        <v>2.2.01.CONTAS PERDIDAS/NÃO PAGAS</v>
      </c>
      <c r="C61" s="41">
        <f>Fluxo_de_Caixa_Janeiro[[#This Row],[Janeiro]]</f>
        <v>0</v>
      </c>
      <c r="D61" s="81">
        <f>Fluxo_de_Caixa_Janeiro3[[#This Row],[Fevereiro]]</f>
        <v>57235.670000000006</v>
      </c>
      <c r="E61" s="81">
        <f>Fluxo_de_Caixa_Janeiro34[[#This Row],[Março]]</f>
        <v>0</v>
      </c>
      <c r="F61" s="81"/>
      <c r="G61" s="81"/>
      <c r="H61" s="81"/>
      <c r="I61" s="41"/>
      <c r="J61" s="81"/>
      <c r="K61" s="81"/>
      <c r="L61" s="81"/>
      <c r="M61" s="81"/>
      <c r="N61" s="118"/>
      <c r="O61" s="218">
        <f>SUM(Fluxo_de_Caixa_Janeiro31020[[#This Row],[Janeiro]:[Dezembro]])</f>
        <v>57235.670000000006</v>
      </c>
      <c r="P61" s="192">
        <f t="shared" ref="P61:P69" si="4">IFERROR(O61/$O$27,"0,00%")</f>
        <v>1.9901330680892129E-2</v>
      </c>
      <c r="Q61" s="311">
        <v>0</v>
      </c>
      <c r="R61" s="32" t="str">
        <f>IF(Fluxo_de_Caixa_Janeiro31020[[#This Row],[% ACUMULADO  1º Trimes 2026]]&lt;=Fluxo_de_Caixa_Janeiro31020[[#This Row],[% ACUMULADO  1º Trimes 2025]],"VERDADEIRO","FALSO")</f>
        <v>FALSO</v>
      </c>
      <c r="V61" s="509">
        <v>0</v>
      </c>
      <c r="W61" s="584">
        <v>0</v>
      </c>
    </row>
    <row r="62" spans="1:23" x14ac:dyDescent="0.25">
      <c r="B62" s="52" t="str">
        <f>Fluxo_de_Caixa_Janeiro[[#This Row],[Fluxo de Caixa 2026 CTR]]</f>
        <v>2.2.02.BOLETOS DESCONTADOS DEVOLVIDOS</v>
      </c>
      <c r="C62" s="35">
        <f>Fluxo_de_Caixa_Janeiro[[#This Row],[Janeiro]]</f>
        <v>0</v>
      </c>
      <c r="D62" s="62">
        <f>Fluxo_de_Caixa_Janeiro3[[#This Row],[Fevereiro]]</f>
        <v>0</v>
      </c>
      <c r="E62" s="62">
        <f>Fluxo_de_Caixa_Janeiro34[[#This Row],[Março]]</f>
        <v>0</v>
      </c>
      <c r="F62" s="62"/>
      <c r="G62" s="62"/>
      <c r="H62" s="62"/>
      <c r="I62" s="35"/>
      <c r="J62" s="62"/>
      <c r="K62" s="62"/>
      <c r="L62" s="62"/>
      <c r="M62" s="62"/>
      <c r="N62" s="119"/>
      <c r="O62" s="219">
        <f>SUM(Fluxo_de_Caixa_Janeiro31020[[#This Row],[Janeiro]:[Dezembro]])</f>
        <v>0</v>
      </c>
      <c r="P62" s="192">
        <f t="shared" si="4"/>
        <v>0</v>
      </c>
      <c r="Q62" s="312">
        <v>0</v>
      </c>
      <c r="R62" s="32" t="str">
        <f>IF(Fluxo_de_Caixa_Janeiro31020[[#This Row],[% ACUMULADO  1º Trimes 2026]]&lt;=Fluxo_de_Caixa_Janeiro31020[[#This Row],[% ACUMULADO  1º Trimes 2025]],"VERDADEIRO","FALSO")</f>
        <v>VERDADEIRO</v>
      </c>
      <c r="V62" s="510">
        <v>0</v>
      </c>
      <c r="W62" s="584">
        <v>0</v>
      </c>
    </row>
    <row r="63" spans="1:23" x14ac:dyDescent="0.25">
      <c r="B63" s="52" t="str">
        <f>Fluxo_de_Caixa_Janeiro[[#This Row],[Fluxo de Caixa 2026 CTR]]</f>
        <v>2.2.03.CHEQUES DEVOLVIDOS</v>
      </c>
      <c r="C63" s="35">
        <f>Fluxo_de_Caixa_Janeiro[[#This Row],[Janeiro]]</f>
        <v>0</v>
      </c>
      <c r="D63" s="62">
        <f>Fluxo_de_Caixa_Janeiro3[[#This Row],[Fevereiro]]</f>
        <v>0</v>
      </c>
      <c r="E63" s="62">
        <f>Fluxo_de_Caixa_Janeiro34[[#This Row],[Março]]</f>
        <v>0</v>
      </c>
      <c r="F63" s="62"/>
      <c r="G63" s="62"/>
      <c r="H63" s="62"/>
      <c r="I63" s="35"/>
      <c r="J63" s="62"/>
      <c r="K63" s="62"/>
      <c r="L63" s="62"/>
      <c r="M63" s="62"/>
      <c r="N63" s="119"/>
      <c r="O63" s="219">
        <f>SUM(Fluxo_de_Caixa_Janeiro31020[[#This Row],[Janeiro]:[Dezembro]])</f>
        <v>0</v>
      </c>
      <c r="P63" s="192">
        <f t="shared" si="4"/>
        <v>0</v>
      </c>
      <c r="Q63" s="312">
        <v>0</v>
      </c>
      <c r="R63" s="32" t="str">
        <f>IF(Fluxo_de_Caixa_Janeiro31020[[#This Row],[% ACUMULADO  1º Trimes 2026]]&lt;=Fluxo_de_Caixa_Janeiro31020[[#This Row],[% ACUMULADO  1º Trimes 2025]],"VERDADEIRO","FALSO")</f>
        <v>VERDADEIRO</v>
      </c>
      <c r="V63" s="510">
        <v>0</v>
      </c>
      <c r="W63" s="584">
        <v>0</v>
      </c>
    </row>
    <row r="64" spans="1:23" x14ac:dyDescent="0.25">
      <c r="B64" s="52" t="str">
        <f>Fluxo_de_Caixa_Janeiro[[#This Row],[Fluxo de Caixa 2026 CTR]]</f>
        <v>2.2.04.BOLETOS DESCONTADOS DEVOLVIDOS</v>
      </c>
      <c r="C64" s="35">
        <f>Fluxo_de_Caixa_Janeiro[[#This Row],[Janeiro]]</f>
        <v>0</v>
      </c>
      <c r="D64" s="62">
        <f>Fluxo_de_Caixa_Janeiro3[[#This Row],[Fevereiro]]</f>
        <v>0</v>
      </c>
      <c r="E64" s="62">
        <f>Fluxo_de_Caixa_Janeiro34[[#This Row],[Março]]</f>
        <v>0</v>
      </c>
      <c r="F64" s="62"/>
      <c r="G64" s="62"/>
      <c r="H64" s="62"/>
      <c r="I64" s="35"/>
      <c r="J64" s="62"/>
      <c r="K64" s="62"/>
      <c r="L64" s="62"/>
      <c r="M64" s="62"/>
      <c r="N64" s="119"/>
      <c r="O64" s="219">
        <f>SUM(Fluxo_de_Caixa_Janeiro31020[[#This Row],[Janeiro]:[Dezembro]])</f>
        <v>0</v>
      </c>
      <c r="P64" s="192">
        <f t="shared" si="4"/>
        <v>0</v>
      </c>
      <c r="Q64" s="312">
        <v>0</v>
      </c>
      <c r="R64" s="32" t="str">
        <f>IF(Fluxo_de_Caixa_Janeiro31020[[#This Row],[% ACUMULADO  1º Trimes 2026]]&lt;=Fluxo_de_Caixa_Janeiro31020[[#This Row],[% ACUMULADO  1º Trimes 2025]],"VERDADEIRO","FALSO")</f>
        <v>VERDADEIRO</v>
      </c>
      <c r="V64" s="510">
        <v>0</v>
      </c>
      <c r="W64" s="584">
        <v>0</v>
      </c>
    </row>
    <row r="65" spans="1:23" ht="15.75" thickBot="1" x14ac:dyDescent="0.3">
      <c r="B65" s="52" t="str">
        <f>Fluxo_de_Caixa_Janeiro[[#This Row],[Fluxo de Caixa 2026 CTR]]</f>
        <v>2.2.05.PERDA,  ROUBO  E  DETERIORAÇÃO</v>
      </c>
      <c r="C65" s="35">
        <f>Fluxo_de_Caixa_Janeiro[[#This Row],[Janeiro]]</f>
        <v>0</v>
      </c>
      <c r="D65" s="62">
        <f>Fluxo_de_Caixa_Janeiro3[[#This Row],[Fevereiro]]</f>
        <v>0</v>
      </c>
      <c r="E65" s="62">
        <f>Fluxo_de_Caixa_Janeiro34[[#This Row],[Março]]</f>
        <v>0</v>
      </c>
      <c r="F65" s="62"/>
      <c r="G65" s="62"/>
      <c r="H65" s="62"/>
      <c r="I65" s="35"/>
      <c r="J65" s="62"/>
      <c r="K65" s="62"/>
      <c r="L65" s="62"/>
      <c r="M65" s="62"/>
      <c r="N65" s="119"/>
      <c r="O65" s="219">
        <f>SUM(Fluxo_de_Caixa_Janeiro31020[[#This Row],[Janeiro]:[Dezembro]])</f>
        <v>0</v>
      </c>
      <c r="P65" s="192">
        <f t="shared" si="4"/>
        <v>0</v>
      </c>
      <c r="Q65" s="312">
        <v>0</v>
      </c>
      <c r="R65" s="32" t="str">
        <f>IF(Fluxo_de_Caixa_Janeiro31020[[#This Row],[% ACUMULADO  1º Trimes 2026]]&lt;=Fluxo_de_Caixa_Janeiro31020[[#This Row],[% ACUMULADO  1º Trimes 2025]],"VERDADEIRO","FALSO")</f>
        <v>VERDADEIRO</v>
      </c>
      <c r="V65" s="510">
        <v>0</v>
      </c>
      <c r="W65" s="584">
        <v>0</v>
      </c>
    </row>
    <row r="66" spans="1:23" hidden="1" x14ac:dyDescent="0.25">
      <c r="B66" s="52">
        <f>Fluxo_de_Caixa_Janeiro[[#This Row],[Fluxo de Caixa 2026 CTR]]</f>
        <v>0</v>
      </c>
      <c r="C66" s="35">
        <f>Fluxo_de_Caixa_Janeiro[[#This Row],[Janeiro]]</f>
        <v>0</v>
      </c>
      <c r="D66" s="62">
        <f>Fluxo_de_Caixa_Janeiro3[[#This Row],[Fevereiro]]</f>
        <v>0</v>
      </c>
      <c r="E66" s="62">
        <f>Fluxo_de_Caixa_Janeiro34[[#This Row],[Março]]</f>
        <v>0</v>
      </c>
      <c r="F66" s="62"/>
      <c r="G66" s="62"/>
      <c r="H66" s="62"/>
      <c r="I66" s="35"/>
      <c r="J66" s="62"/>
      <c r="K66" s="62"/>
      <c r="L66" s="62"/>
      <c r="M66" s="62"/>
      <c r="N66" s="119"/>
      <c r="O66" s="219">
        <f>SUM(Fluxo_de_Caixa_Janeiro31020[[#This Row],[Janeiro]:[Dezembro]])</f>
        <v>0</v>
      </c>
      <c r="P66" s="192">
        <f t="shared" si="4"/>
        <v>0</v>
      </c>
      <c r="Q66" s="312">
        <v>0</v>
      </c>
      <c r="R66" s="32" t="str">
        <f>IF(Fluxo_de_Caixa_Janeiro31020[[#This Row],[% ACUMULADO  1º Trimes 2026]]&lt;=Fluxo_de_Caixa_Janeiro31020[[#This Row],[% ACUMULADO  1º Trimes 2025]],"VERDADEIRO","FALSO")</f>
        <v>VERDADEIRO</v>
      </c>
      <c r="V66" s="510">
        <v>0</v>
      </c>
      <c r="W66" s="584">
        <v>0</v>
      </c>
    </row>
    <row r="67" spans="1:23" hidden="1" x14ac:dyDescent="0.25">
      <c r="B67" s="52">
        <f>Fluxo_de_Caixa_Janeiro[[#This Row],[Fluxo de Caixa 2026 CTR]]</f>
        <v>0</v>
      </c>
      <c r="C67" s="35">
        <f>Fluxo_de_Caixa_Janeiro[[#This Row],[Janeiro]]</f>
        <v>0</v>
      </c>
      <c r="D67" s="62">
        <f>Fluxo_de_Caixa_Janeiro3[[#This Row],[Fevereiro]]</f>
        <v>0</v>
      </c>
      <c r="E67" s="62">
        <f>Fluxo_de_Caixa_Janeiro34[[#This Row],[Março]]</f>
        <v>0</v>
      </c>
      <c r="F67" s="62"/>
      <c r="G67" s="62"/>
      <c r="H67" s="62"/>
      <c r="I67" s="35"/>
      <c r="J67" s="62"/>
      <c r="K67" s="62"/>
      <c r="L67" s="62"/>
      <c r="M67" s="62"/>
      <c r="N67" s="119"/>
      <c r="O67" s="219">
        <f>SUM(Fluxo_de_Caixa_Janeiro31020[[#This Row],[Janeiro]:[Dezembro]])</f>
        <v>0</v>
      </c>
      <c r="P67" s="192">
        <f t="shared" si="4"/>
        <v>0</v>
      </c>
      <c r="Q67" s="312">
        <v>0</v>
      </c>
      <c r="R67" s="32" t="str">
        <f>IF(Fluxo_de_Caixa_Janeiro31020[[#This Row],[% ACUMULADO  1º Trimes 2026]]&lt;=Fluxo_de_Caixa_Janeiro31020[[#This Row],[% ACUMULADO  1º Trimes 2025]],"VERDADEIRO","FALSO")</f>
        <v>VERDADEIRO</v>
      </c>
      <c r="V67" s="510">
        <v>0</v>
      </c>
      <c r="W67" s="584">
        <v>0</v>
      </c>
    </row>
    <row r="68" spans="1:23" hidden="1" x14ac:dyDescent="0.25">
      <c r="B68" s="52">
        <f>Fluxo_de_Caixa_Janeiro[[#This Row],[Fluxo de Caixa 2026 CTR]]</f>
        <v>0</v>
      </c>
      <c r="C68" s="35">
        <f>Fluxo_de_Caixa_Janeiro[[#This Row],[Janeiro]]</f>
        <v>0</v>
      </c>
      <c r="D68" s="62">
        <f>Fluxo_de_Caixa_Janeiro3[[#This Row],[Fevereiro]]</f>
        <v>0</v>
      </c>
      <c r="E68" s="62">
        <f>Fluxo_de_Caixa_Janeiro34[[#This Row],[Março]]</f>
        <v>0</v>
      </c>
      <c r="F68" s="62"/>
      <c r="G68" s="62"/>
      <c r="H68" s="62"/>
      <c r="I68" s="35"/>
      <c r="J68" s="62"/>
      <c r="K68" s="62"/>
      <c r="L68" s="62"/>
      <c r="M68" s="62"/>
      <c r="N68" s="119"/>
      <c r="O68" s="219">
        <f>SUM(Fluxo_de_Caixa_Janeiro31020[[#This Row],[Janeiro]:[Dezembro]])</f>
        <v>0</v>
      </c>
      <c r="P68" s="192">
        <f t="shared" si="4"/>
        <v>0</v>
      </c>
      <c r="Q68" s="312">
        <v>0</v>
      </c>
      <c r="R68" s="32" t="str">
        <f>IF(Fluxo_de_Caixa_Janeiro31020[[#This Row],[% ACUMULADO  1º Trimes 2026]]&lt;=Fluxo_de_Caixa_Janeiro31020[[#This Row],[% ACUMULADO  1º Trimes 2025]],"VERDADEIRO","FALSO")</f>
        <v>VERDADEIRO</v>
      </c>
      <c r="V68" s="510">
        <v>0</v>
      </c>
      <c r="W68" s="584">
        <v>0</v>
      </c>
    </row>
    <row r="69" spans="1:23" ht="15.75" hidden="1" thickBot="1" x14ac:dyDescent="0.3">
      <c r="B69" s="167">
        <f>Fluxo_de_Caixa_Janeiro[[#This Row],[Fluxo de Caixa 2026 CTR]]</f>
        <v>0</v>
      </c>
      <c r="C69" s="36">
        <f>Fluxo_de_Caixa_Janeiro[[#This Row],[Janeiro]]</f>
        <v>0</v>
      </c>
      <c r="D69" s="82">
        <f>Fluxo_de_Caixa_Janeiro3[[#This Row],[Fevereiro]]</f>
        <v>0</v>
      </c>
      <c r="E69" s="82">
        <f>Fluxo_de_Caixa_Janeiro34[[#This Row],[Março]]</f>
        <v>0</v>
      </c>
      <c r="F69" s="82"/>
      <c r="G69" s="82"/>
      <c r="H69" s="82"/>
      <c r="I69" s="36"/>
      <c r="J69" s="82"/>
      <c r="K69" s="82"/>
      <c r="L69" s="82"/>
      <c r="M69" s="82"/>
      <c r="N69" s="120"/>
      <c r="O69" s="220">
        <f>SUM(Fluxo_de_Caixa_Janeiro31020[[#This Row],[Janeiro]:[Dezembro]])</f>
        <v>0</v>
      </c>
      <c r="P69" s="192">
        <f t="shared" si="4"/>
        <v>0</v>
      </c>
      <c r="Q69" s="543">
        <v>0</v>
      </c>
      <c r="R69" s="32" t="str">
        <f>IF(Fluxo_de_Caixa_Janeiro31020[[#This Row],[% ACUMULADO  1º Trimes 2026]]&lt;=Fluxo_de_Caixa_Janeiro31020[[#This Row],[% ACUMULADO  1º Trimes 2025]],"VERDADEIRO","FALSO")</f>
        <v>VERDADEIRO</v>
      </c>
      <c r="V69" s="511">
        <v>0</v>
      </c>
      <c r="W69" s="584">
        <v>0</v>
      </c>
    </row>
    <row r="70" spans="1:23" s="3" customFormat="1" ht="24" thickBot="1" x14ac:dyDescent="0.4">
      <c r="A70" s="13" t="s">
        <v>9</v>
      </c>
      <c r="B70" s="53" t="str">
        <f>Fluxo_de_Caixa_Janeiro[[#This Row],[Fluxo de Caixa 2026 CTR]]</f>
        <v>2.3. Impostos</v>
      </c>
      <c r="C70" s="43">
        <f>Fluxo_de_Caixa_Janeiro[[#This Row],[Janeiro]]</f>
        <v>-57986.559999999998</v>
      </c>
      <c r="D70" s="91">
        <f>Fluxo_de_Caixa_Janeiro3[[#This Row],[Fevereiro]]</f>
        <v>-176996.86</v>
      </c>
      <c r="E70" s="91">
        <f>Fluxo_de_Caixa_Janeiro34[[#This Row],[Março]]</f>
        <v>-73559.849999999991</v>
      </c>
      <c r="F70" s="91"/>
      <c r="G70" s="91"/>
      <c r="H70" s="91"/>
      <c r="I70" s="43"/>
      <c r="J70" s="91"/>
      <c r="K70" s="91"/>
      <c r="L70" s="91"/>
      <c r="M70" s="91"/>
      <c r="N70" s="127"/>
      <c r="O70" s="217">
        <f>SUM(Fluxo_de_Caixa_Janeiro31020[[#This Row],[Janeiro]:[Dezembro]])</f>
        <v>-308543.26999999996</v>
      </c>
      <c r="P70" s="22">
        <f>-IFERROR(O70/$O$27,"0,00")</f>
        <v>0.10728312686186399</v>
      </c>
      <c r="Q70" s="313">
        <v>7.3746792146749882E-2</v>
      </c>
      <c r="R70" s="32" t="str">
        <f>IF(Fluxo_de_Caixa_Janeiro31020[[#This Row],[% ACUMULADO  1º Trimes 2026]]&lt;=Fluxo_de_Caixa_Janeiro31020[[#This Row],[% ACUMULADO  1º Trimes 2025]],"VERDADEIRO","FALSO")</f>
        <v>FALSO</v>
      </c>
      <c r="S70" s="663"/>
      <c r="V70" s="508">
        <v>-198412.19999999998</v>
      </c>
      <c r="W70" s="655">
        <v>7.3746792146749882E-2</v>
      </c>
    </row>
    <row r="71" spans="1:23" hidden="1" x14ac:dyDescent="0.25">
      <c r="B71" s="272">
        <f>Fluxo_de_Caixa_Janeiro[[#This Row],[Fluxo de Caixa 2026 CTR]]</f>
        <v>0</v>
      </c>
      <c r="C71" s="41">
        <f>Fluxo_de_Caixa_Janeiro[[#This Row],[Janeiro]]</f>
        <v>0</v>
      </c>
      <c r="D71" s="81">
        <f>Fluxo_de_Caixa_Janeiro3[[#This Row],[Fevereiro]]</f>
        <v>0</v>
      </c>
      <c r="E71" s="81">
        <f>Fluxo_de_Caixa_Janeiro34[[#This Row],[Março]]</f>
        <v>0</v>
      </c>
      <c r="F71" s="81"/>
      <c r="G71" s="81"/>
      <c r="H71" s="81"/>
      <c r="I71" s="41"/>
      <c r="J71" s="81"/>
      <c r="K71" s="81"/>
      <c r="L71" s="81"/>
      <c r="M71" s="81"/>
      <c r="N71" s="118"/>
      <c r="O71" s="218">
        <f>SUM(Fluxo_de_Caixa_Janeiro31020[[#This Row],[Janeiro]:[Dezembro]])</f>
        <v>0</v>
      </c>
      <c r="P71" s="192">
        <f t="shared" ref="P71:P84" si="5">IFERROR(O71/$O$27,"0,00%")</f>
        <v>0</v>
      </c>
      <c r="Q71" s="311">
        <v>0</v>
      </c>
      <c r="R71" s="32" t="str">
        <f>IF(Fluxo_de_Caixa_Janeiro31020[[#This Row],[% ACUMULADO  1º Trimes 2026]]&lt;=Fluxo_de_Caixa_Janeiro31020[[#This Row],[% ACUMULADO  1º Trimes 2025]],"VERDADEIRO","FALSO")</f>
        <v>VERDADEIRO</v>
      </c>
      <c r="V71" s="509">
        <v>0</v>
      </c>
      <c r="W71" s="584">
        <v>0</v>
      </c>
    </row>
    <row r="72" spans="1:23" x14ac:dyDescent="0.25">
      <c r="B72" s="267" t="str">
        <f>Fluxo_de_Caixa_Janeiro[[#This Row],[Fluxo de Caixa 2026 CTR]]</f>
        <v xml:space="preserve">2.3.02.IRPJ (SE ESTIVER NO CMV) </v>
      </c>
      <c r="C72" s="35">
        <f>Fluxo_de_Caixa_Janeiro[[#This Row],[Janeiro]]</f>
        <v>0</v>
      </c>
      <c r="D72" s="62">
        <f>Fluxo_de_Caixa_Janeiro3[[#This Row],[Fevereiro]]</f>
        <v>50219.25</v>
      </c>
      <c r="E72" s="62">
        <f>Fluxo_de_Caixa_Janeiro34[[#This Row],[Março]]</f>
        <v>0</v>
      </c>
      <c r="F72" s="62"/>
      <c r="G72" s="62"/>
      <c r="H72" s="62"/>
      <c r="I72" s="35"/>
      <c r="J72" s="62"/>
      <c r="K72" s="62"/>
      <c r="L72" s="62"/>
      <c r="M72" s="62"/>
      <c r="N72" s="119"/>
      <c r="O72" s="219">
        <f>SUM(Fluxo_de_Caixa_Janeiro31020[[#This Row],[Janeiro]:[Dezembro]])</f>
        <v>50219.25</v>
      </c>
      <c r="P72" s="664">
        <f t="shared" si="5"/>
        <v>1.7461661596630075E-2</v>
      </c>
      <c r="Q72" s="311">
        <v>4.961017813237727E-3</v>
      </c>
      <c r="R72" s="32" t="str">
        <f>IF(Fluxo_de_Caixa_Janeiro31020[[#This Row],[% ACUMULADO  1º Trimes 2026]]&lt;=Fluxo_de_Caixa_Janeiro31020[[#This Row],[% ACUMULADO  1º Trimes 2025]],"VERDADEIRO","FALSO")</f>
        <v>FALSO</v>
      </c>
      <c r="T72" s="287"/>
      <c r="V72" s="510">
        <v>13347.38</v>
      </c>
      <c r="W72" s="584">
        <v>4.961017813237727E-3</v>
      </c>
    </row>
    <row r="73" spans="1:23" x14ac:dyDescent="0.25">
      <c r="B73" s="267" t="str">
        <f>Fluxo_de_Caixa_Janeiro[[#This Row],[Fluxo de Caixa 2026 CTR]]</f>
        <v xml:space="preserve">2.3.03.CSSL (SE ESTIVER NO CMV) </v>
      </c>
      <c r="C73" s="35">
        <f>Fluxo_de_Caixa_Janeiro[[#This Row],[Janeiro]]</f>
        <v>0</v>
      </c>
      <c r="D73" s="62">
        <f>Fluxo_de_Caixa_Janeiro3[[#This Row],[Fevereiro]]</f>
        <v>30668.76</v>
      </c>
      <c r="E73" s="62">
        <f>Fluxo_de_Caixa_Janeiro34[[#This Row],[Março]]</f>
        <v>0</v>
      </c>
      <c r="F73" s="62"/>
      <c r="G73" s="62"/>
      <c r="H73" s="62"/>
      <c r="I73" s="35"/>
      <c r="J73" s="62"/>
      <c r="K73" s="62"/>
      <c r="L73" s="62"/>
      <c r="M73" s="62"/>
      <c r="N73" s="119"/>
      <c r="O73" s="219">
        <f>SUM(Fluxo_de_Caixa_Janeiro31020[[#This Row],[Janeiro]:[Dezembro]])</f>
        <v>30668.76</v>
      </c>
      <c r="P73" s="664">
        <f t="shared" si="5"/>
        <v>1.0663789457394615E-2</v>
      </c>
      <c r="Q73" s="311">
        <v>3.080367233766681E-3</v>
      </c>
      <c r="R73" s="32" t="str">
        <f>IF(Fluxo_de_Caixa_Janeiro31020[[#This Row],[% ACUMULADO  1º Trimes 2026]]&lt;=Fluxo_de_Caixa_Janeiro31020[[#This Row],[% ACUMULADO  1º Trimes 2025]],"VERDADEIRO","FALSO")</f>
        <v>FALSO</v>
      </c>
      <c r="T73" s="287"/>
      <c r="V73" s="510">
        <v>8287.58</v>
      </c>
      <c r="W73" s="584">
        <v>3.080367233766681E-3</v>
      </c>
    </row>
    <row r="74" spans="1:23" x14ac:dyDescent="0.25">
      <c r="B74" s="267" t="str">
        <f>Fluxo_de_Caixa_Janeiro[[#This Row],[Fluxo de Caixa 2026 CTR]]</f>
        <v>2.3.04.COFINS (SE ESTIVER NO CMV)</v>
      </c>
      <c r="C74" s="35">
        <f>Fluxo_de_Caixa_Janeiro[[#This Row],[Janeiro]]</f>
        <v>12167.71</v>
      </c>
      <c r="D74" s="62">
        <f>Fluxo_de_Caixa_Janeiro3[[#This Row],[Fevereiro]]</f>
        <v>0</v>
      </c>
      <c r="E74" s="62">
        <f>Fluxo_de_Caixa_Janeiro34[[#This Row],[Março]]</f>
        <v>0</v>
      </c>
      <c r="F74" s="62"/>
      <c r="G74" s="62"/>
      <c r="H74" s="62"/>
      <c r="I74" s="35"/>
      <c r="J74" s="62"/>
      <c r="K74" s="62"/>
      <c r="L74" s="62"/>
      <c r="M74" s="62"/>
      <c r="N74" s="119"/>
      <c r="O74" s="219">
        <f>SUM(Fluxo_de_Caixa_Janeiro31020[[#This Row],[Janeiro]:[Dezembro]])</f>
        <v>12167.71</v>
      </c>
      <c r="P74" s="192">
        <f t="shared" si="5"/>
        <v>4.2308165579121888E-3</v>
      </c>
      <c r="Q74" s="311">
        <v>1.5811685526707458E-2</v>
      </c>
      <c r="R74" s="32" t="str">
        <f>IF(Fluxo_de_Caixa_Janeiro31020[[#This Row],[% ACUMULADO  1º Trimes 2026]]&lt;=Fluxo_de_Caixa_Janeiro31020[[#This Row],[% ACUMULADO  1º Trimes 2025]],"VERDADEIRO","FALSO")</f>
        <v>VERDADEIRO</v>
      </c>
      <c r="T74" s="287"/>
      <c r="V74" s="510">
        <v>42540.58</v>
      </c>
      <c r="W74" s="584">
        <v>1.5811685526707458E-2</v>
      </c>
    </row>
    <row r="75" spans="1:23" x14ac:dyDescent="0.25">
      <c r="B75" s="267" t="str">
        <f>Fluxo_de_Caixa_Janeiro[[#This Row],[Fluxo de Caixa 2026 CTR]]</f>
        <v>2.3.05.PIS (SE ESTIVER NO CMV)</v>
      </c>
      <c r="C75" s="35">
        <f>Fluxo_de_Caixa_Janeiro[[#This Row],[Janeiro]]</f>
        <v>2636.34</v>
      </c>
      <c r="D75" s="62">
        <f>Fluxo_de_Caixa_Janeiro3[[#This Row],[Fevereiro]]</f>
        <v>0</v>
      </c>
      <c r="E75" s="62">
        <f>Fluxo_de_Caixa_Janeiro34[[#This Row],[Março]]</f>
        <v>0</v>
      </c>
      <c r="F75" s="62"/>
      <c r="G75" s="62"/>
      <c r="H75" s="62"/>
      <c r="I75" s="35"/>
      <c r="J75" s="62"/>
      <c r="K75" s="62"/>
      <c r="L75" s="62"/>
      <c r="M75" s="62"/>
      <c r="N75" s="119"/>
      <c r="O75" s="219">
        <f>SUM(Fluxo_de_Caixa_Janeiro31020[[#This Row],[Janeiro]:[Dezembro]])</f>
        <v>2636.34</v>
      </c>
      <c r="P75" s="192">
        <f t="shared" si="5"/>
        <v>9.1667790605514288E-4</v>
      </c>
      <c r="Q75" s="311">
        <v>3.425866808087269E-3</v>
      </c>
      <c r="R75" s="32" t="str">
        <f>IF(Fluxo_de_Caixa_Janeiro31020[[#This Row],[% ACUMULADO  1º Trimes 2026]]&lt;=Fluxo_de_Caixa_Janeiro31020[[#This Row],[% ACUMULADO  1º Trimes 2025]],"VERDADEIRO","FALSO")</f>
        <v>VERDADEIRO</v>
      </c>
      <c r="T75" s="287"/>
      <c r="V75" s="510">
        <v>9217.130000000001</v>
      </c>
      <c r="W75" s="584">
        <v>3.425866808087269E-3</v>
      </c>
    </row>
    <row r="76" spans="1:23" x14ac:dyDescent="0.25">
      <c r="B76" s="267" t="str">
        <f>Fluxo_de_Caixa_Janeiro[[#This Row],[Fluxo de Caixa 2026 CTR]]</f>
        <v>2.3.06.ICMS – Normal (SE ESTIVER NO CMV)</v>
      </c>
      <c r="C76" s="35">
        <f>Fluxo_de_Caixa_Janeiro[[#This Row],[Janeiro]]</f>
        <v>20443.12</v>
      </c>
      <c r="D76" s="62">
        <f>Fluxo_de_Caixa_Janeiro3[[#This Row],[Fevereiro]]</f>
        <v>66402.539999999994</v>
      </c>
      <c r="E76" s="62">
        <f>Fluxo_de_Caixa_Janeiro34[[#This Row],[Março]]</f>
        <v>43499.63</v>
      </c>
      <c r="F76" s="62"/>
      <c r="G76" s="62"/>
      <c r="H76" s="62"/>
      <c r="I76" s="35"/>
      <c r="J76" s="62"/>
      <c r="K76" s="62"/>
      <c r="L76" s="62"/>
      <c r="M76" s="62"/>
      <c r="N76" s="119"/>
      <c r="O76" s="219">
        <f>SUM(Fluxo_de_Caixa_Janeiro31020[[#This Row],[Janeiro]:[Dezembro]])</f>
        <v>130345.28999999998</v>
      </c>
      <c r="P76" s="192">
        <f t="shared" si="5"/>
        <v>4.5322169182028998E-2</v>
      </c>
      <c r="Q76" s="311">
        <v>2.6927345894162302E-2</v>
      </c>
      <c r="R76" s="32" t="str">
        <f>IF(Fluxo_de_Caixa_Janeiro31020[[#This Row],[% ACUMULADO  1º Trimes 2026]]&lt;=Fluxo_de_Caixa_Janeiro31020[[#This Row],[% ACUMULADO  1º Trimes 2025]],"VERDADEIRO","FALSO")</f>
        <v>FALSO</v>
      </c>
      <c r="T76" s="287"/>
      <c r="V76" s="510">
        <v>72446.73</v>
      </c>
      <c r="W76" s="584">
        <v>2.6927345894162302E-2</v>
      </c>
    </row>
    <row r="77" spans="1:23" x14ac:dyDescent="0.25">
      <c r="B77" s="267" t="str">
        <f>Fluxo_de_Caixa_Janeiro[[#This Row],[Fluxo de Caixa 2026 CTR]]</f>
        <v>2.3.07. SUBSTITUIÇÃO TRIBUTARIA SAÍDA (TARE)</v>
      </c>
      <c r="C77" s="35">
        <f>Fluxo_de_Caixa_Janeiro[[#This Row],[Janeiro]]</f>
        <v>10059.1</v>
      </c>
      <c r="D77" s="62">
        <f>Fluxo_de_Caixa_Janeiro3[[#This Row],[Fevereiro]]</f>
        <v>13988.27</v>
      </c>
      <c r="E77" s="62">
        <f>Fluxo_de_Caixa_Janeiro34[[#This Row],[Março]]</f>
        <v>14279.93</v>
      </c>
      <c r="F77" s="62"/>
      <c r="G77" s="62"/>
      <c r="H77" s="62"/>
      <c r="I77" s="35"/>
      <c r="J77" s="62"/>
      <c r="K77" s="62"/>
      <c r="L77" s="62"/>
      <c r="M77" s="62"/>
      <c r="N77" s="119"/>
      <c r="O77" s="219">
        <f>SUM(Fluxo_de_Caixa_Janeiro31020[[#This Row],[Janeiro]:[Dezembro]])</f>
        <v>38327.300000000003</v>
      </c>
      <c r="P77" s="192">
        <f t="shared" si="5"/>
        <v>1.3326729142958524E-2</v>
      </c>
      <c r="Q77" s="311">
        <v>6.5528990642367687E-3</v>
      </c>
      <c r="R77" s="32" t="str">
        <f>IF(Fluxo_de_Caixa_Janeiro31020[[#This Row],[% ACUMULADO  1º Trimes 2026]]&lt;=Fluxo_de_Caixa_Janeiro31020[[#This Row],[% ACUMULADO  1º Trimes 2025]],"VERDADEIRO","FALSO")</f>
        <v>FALSO</v>
      </c>
      <c r="T77" s="287"/>
      <c r="V77" s="510">
        <v>17630.259999999998</v>
      </c>
      <c r="W77" s="584">
        <v>6.5528990642367687E-3</v>
      </c>
    </row>
    <row r="78" spans="1:23" x14ac:dyDescent="0.25">
      <c r="B78" s="268" t="str">
        <f>Fluxo_de_Caixa_Janeiro[[#This Row],[Fluxo de Caixa 2026 CTR]]</f>
        <v>2.3.08.SUBSTITUIÇÃO TRIBUTÁRIA NA ENTRADA</v>
      </c>
      <c r="C78" s="35">
        <f>Fluxo_de_Caixa_Janeiro[[#This Row],[Janeiro]]</f>
        <v>0</v>
      </c>
      <c r="D78" s="62">
        <f>Fluxo_de_Caixa_Janeiro3[[#This Row],[Fevereiro]]</f>
        <v>0</v>
      </c>
      <c r="E78" s="62">
        <f>Fluxo_de_Caixa_Janeiro34[[#This Row],[Março]]</f>
        <v>0</v>
      </c>
      <c r="F78" s="62"/>
      <c r="G78" s="62"/>
      <c r="H78" s="62"/>
      <c r="I78" s="35"/>
      <c r="J78" s="62"/>
      <c r="K78" s="62"/>
      <c r="L78" s="62"/>
      <c r="M78" s="62"/>
      <c r="N78" s="119"/>
      <c r="O78" s="219">
        <f>SUM(Fluxo_de_Caixa_Janeiro31020[[#This Row],[Janeiro]:[Dezembro]])</f>
        <v>0</v>
      </c>
      <c r="P78" s="192">
        <f t="shared" si="5"/>
        <v>0</v>
      </c>
      <c r="Q78" s="311">
        <v>0</v>
      </c>
      <c r="R78" s="32" t="str">
        <f>IF(Fluxo_de_Caixa_Janeiro31020[[#This Row],[% ACUMULADO  1º Trimes 2026]]&lt;=Fluxo_de_Caixa_Janeiro31020[[#This Row],[% ACUMULADO  1º Trimes 2025]],"VERDADEIRO","FALSO")</f>
        <v>VERDADEIRO</v>
      </c>
      <c r="T78" s="287"/>
      <c r="V78" s="510">
        <v>0</v>
      </c>
      <c r="W78" s="584">
        <v>0</v>
      </c>
    </row>
    <row r="79" spans="1:23" x14ac:dyDescent="0.25">
      <c r="B79" s="268" t="str">
        <f>Fluxo_de_Caixa_Janeiro[[#This Row],[Fluxo de Caixa 2026 CTR]]</f>
        <v>2.3.09.FUNDO DESENVOLVIMENTO ECONOMICO (TARE)</v>
      </c>
      <c r="C79" s="35">
        <f>Fluxo_de_Caixa_Janeiro[[#This Row],[Janeiro]]</f>
        <v>117.55</v>
      </c>
      <c r="D79" s="62">
        <f>Fluxo_de_Caixa_Janeiro3[[#This Row],[Fevereiro]]</f>
        <v>204.79</v>
      </c>
      <c r="E79" s="62">
        <f>Fluxo_de_Caixa_Janeiro34[[#This Row],[Março]]</f>
        <v>163.41999999999999</v>
      </c>
      <c r="F79" s="62"/>
      <c r="G79" s="62"/>
      <c r="H79" s="62"/>
      <c r="I79" s="35"/>
      <c r="J79" s="62"/>
      <c r="K79" s="62"/>
      <c r="L79" s="62"/>
      <c r="M79" s="62"/>
      <c r="N79" s="119"/>
      <c r="O79" s="219">
        <f>SUM(Fluxo_de_Caixa_Janeiro31020[[#This Row],[Janeiro]:[Dezembro]])</f>
        <v>485.76</v>
      </c>
      <c r="P79" s="192">
        <f t="shared" si="5"/>
        <v>1.6890289554660862E-4</v>
      </c>
      <c r="Q79" s="311">
        <v>1.7588123131461698E-4</v>
      </c>
      <c r="R79" s="32" t="str">
        <f>IF(Fluxo_de_Caixa_Janeiro31020[[#This Row],[% ACUMULADO  1º Trimes 2026]]&lt;=Fluxo_de_Caixa_Janeiro31020[[#This Row],[% ACUMULADO  1º Trimes 2025]],"VERDADEIRO","FALSO")</f>
        <v>VERDADEIRO</v>
      </c>
      <c r="T79" s="287"/>
      <c r="V79" s="510">
        <v>473.2</v>
      </c>
      <c r="W79" s="584">
        <v>1.7588123131461698E-4</v>
      </c>
    </row>
    <row r="80" spans="1:23" hidden="1" x14ac:dyDescent="0.25">
      <c r="B80" s="268">
        <f>Fluxo_de_Caixa_Janeiro[[#This Row],[Fluxo de Caixa 2026 CTR]]</f>
        <v>0</v>
      </c>
      <c r="C80" s="35">
        <f>Fluxo_de_Caixa_Janeiro[[#This Row],[Janeiro]]</f>
        <v>0</v>
      </c>
      <c r="D80" s="62">
        <f>Fluxo_de_Caixa_Janeiro3[[#This Row],[Fevereiro]]</f>
        <v>0</v>
      </c>
      <c r="E80" s="62">
        <f>Fluxo_de_Caixa_Janeiro34[[#This Row],[Março]]</f>
        <v>0</v>
      </c>
      <c r="F80" s="62"/>
      <c r="G80" s="62"/>
      <c r="H80" s="62"/>
      <c r="I80" s="35"/>
      <c r="J80" s="62"/>
      <c r="K80" s="62"/>
      <c r="L80" s="62"/>
      <c r="M80" s="62"/>
      <c r="N80" s="119"/>
      <c r="O80" s="219">
        <f>SUM(Fluxo_de_Caixa_Janeiro31020[[#This Row],[Janeiro]:[Dezembro]])</f>
        <v>0</v>
      </c>
      <c r="P80" s="192">
        <f t="shared" si="5"/>
        <v>0</v>
      </c>
      <c r="Q80" s="311">
        <v>0</v>
      </c>
      <c r="R80" s="32" t="str">
        <f>IF(Fluxo_de_Caixa_Janeiro31020[[#This Row],[% ACUMULADO  1º Trimes 2026]]&lt;=Fluxo_de_Caixa_Janeiro31020[[#This Row],[% ACUMULADO  1º Trimes 2025]],"VERDADEIRO","FALSO")</f>
        <v>VERDADEIRO</v>
      </c>
      <c r="T80" s="287"/>
      <c r="V80" s="510">
        <v>0</v>
      </c>
      <c r="W80" s="584">
        <v>0</v>
      </c>
    </row>
    <row r="81" spans="1:23" hidden="1" x14ac:dyDescent="0.25">
      <c r="B81" s="268">
        <f>Fluxo_de_Caixa_Janeiro[[#This Row],[Fluxo de Caixa 2026 CTR]]</f>
        <v>0</v>
      </c>
      <c r="C81" s="35">
        <f>Fluxo_de_Caixa_Janeiro[[#This Row],[Janeiro]]</f>
        <v>0</v>
      </c>
      <c r="D81" s="62">
        <f>Fluxo_de_Caixa_Janeiro3[[#This Row],[Fevereiro]]</f>
        <v>0</v>
      </c>
      <c r="E81" s="62">
        <f>Fluxo_de_Caixa_Janeiro34[[#This Row],[Março]]</f>
        <v>0</v>
      </c>
      <c r="F81" s="62"/>
      <c r="G81" s="62"/>
      <c r="H81" s="62"/>
      <c r="I81" s="35"/>
      <c r="J81" s="62"/>
      <c r="K81" s="62"/>
      <c r="L81" s="62"/>
      <c r="M81" s="62"/>
      <c r="N81" s="119"/>
      <c r="O81" s="219">
        <f>SUM(Fluxo_de_Caixa_Janeiro31020[[#This Row],[Janeiro]:[Dezembro]])</f>
        <v>0</v>
      </c>
      <c r="P81" s="192">
        <f t="shared" si="5"/>
        <v>0</v>
      </c>
      <c r="Q81" s="311">
        <v>0</v>
      </c>
      <c r="R81" s="32" t="str">
        <f>IF(Fluxo_de_Caixa_Janeiro31020[[#This Row],[% ACUMULADO  1º Trimes 2026]]&lt;=Fluxo_de_Caixa_Janeiro31020[[#This Row],[% ACUMULADO  1º Trimes 2025]],"VERDADEIRO","FALSO")</f>
        <v>VERDADEIRO</v>
      </c>
      <c r="T81" s="287"/>
      <c r="V81" s="510">
        <v>0</v>
      </c>
      <c r="W81" s="584">
        <v>0</v>
      </c>
    </row>
    <row r="82" spans="1:23" ht="15.75" thickBot="1" x14ac:dyDescent="0.3">
      <c r="B82" s="268" t="str">
        <f>Fluxo_de_Caixa_Janeiro[[#This Row],[Fluxo de Caixa 2026 CTR]]</f>
        <v xml:space="preserve">2.3.11. Impostos Parcelado </v>
      </c>
      <c r="C82" s="35">
        <f>Fluxo_de_Caixa_Janeiro[[#This Row],[Janeiro]]</f>
        <v>12562.74</v>
      </c>
      <c r="D82" s="62">
        <f>Fluxo_de_Caixa_Janeiro3[[#This Row],[Fevereiro]]</f>
        <v>15513.25</v>
      </c>
      <c r="E82" s="62">
        <f>Fluxo_de_Caixa_Janeiro34[[#This Row],[Março]]</f>
        <v>15616.87</v>
      </c>
      <c r="F82" s="62"/>
      <c r="G82" s="62"/>
      <c r="H82" s="62"/>
      <c r="I82" s="35"/>
      <c r="J82" s="62"/>
      <c r="K82" s="62"/>
      <c r="L82" s="62"/>
      <c r="M82" s="62"/>
      <c r="N82" s="119"/>
      <c r="O82" s="219">
        <f>SUM(Fluxo_de_Caixa_Janeiro31020[[#This Row],[Janeiro]:[Dezembro]])</f>
        <v>43692.86</v>
      </c>
      <c r="P82" s="664">
        <f t="shared" si="5"/>
        <v>1.519238012333785E-2</v>
      </c>
      <c r="Q82" s="311">
        <v>1.2811728575237064E-2</v>
      </c>
      <c r="R82" s="32" t="str">
        <f>IF(Fluxo_de_Caixa_Janeiro31020[[#This Row],[% ACUMULADO  1º Trimes 2026]]&lt;=Fluxo_de_Caixa_Janeiro31020[[#This Row],[% ACUMULADO  1º Trimes 2025]],"VERDADEIRO","FALSO")</f>
        <v>FALSO</v>
      </c>
      <c r="V82" s="510">
        <v>34469.339999999997</v>
      </c>
      <c r="W82" s="584">
        <v>1.2811728575237064E-2</v>
      </c>
    </row>
    <row r="83" spans="1:23" hidden="1" x14ac:dyDescent="0.25">
      <c r="B83" s="268">
        <f>Fluxo_de_Caixa_Janeiro[[#This Row],[Fluxo de Caixa 2026 CTR]]</f>
        <v>0</v>
      </c>
      <c r="C83" s="35">
        <f>Fluxo_de_Caixa_Janeiro[[#This Row],[Janeiro]]</f>
        <v>0</v>
      </c>
      <c r="D83" s="62">
        <f>Fluxo_de_Caixa_Janeiro3[[#This Row],[Fevereiro]]</f>
        <v>0</v>
      </c>
      <c r="E83" s="62">
        <f>Fluxo_de_Caixa_Janeiro34[[#This Row],[Março]]</f>
        <v>0</v>
      </c>
      <c r="F83" s="62"/>
      <c r="G83" s="62"/>
      <c r="H83" s="62"/>
      <c r="I83" s="35"/>
      <c r="J83" s="62"/>
      <c r="K83" s="62"/>
      <c r="L83" s="62"/>
      <c r="M83" s="62"/>
      <c r="N83" s="119"/>
      <c r="O83" s="219">
        <f>SUM(Fluxo_de_Caixa_Janeiro31020[[#This Row],[Janeiro]:[Dezembro]])</f>
        <v>0</v>
      </c>
      <c r="P83" s="192">
        <f t="shared" si="5"/>
        <v>0</v>
      </c>
      <c r="Q83" s="311">
        <v>0</v>
      </c>
      <c r="R83" s="32" t="str">
        <f>IF(Fluxo_de_Caixa_Janeiro31020[[#This Row],[% ACUMULADO  1º Trimes 2026]]&lt;=Fluxo_de_Caixa_Janeiro31020[[#This Row],[% ACUMULADO  1º Trimes 2025]],"VERDADEIRO","FALSO")</f>
        <v>VERDADEIRO</v>
      </c>
      <c r="V83" s="510">
        <v>0</v>
      </c>
      <c r="W83" s="584">
        <v>0</v>
      </c>
    </row>
    <row r="84" spans="1:23" ht="15.75" hidden="1" thickBot="1" x14ac:dyDescent="0.3">
      <c r="B84" s="268">
        <f>Fluxo_de_Caixa_Janeiro[[#This Row],[Fluxo de Caixa 2026 CTR]]</f>
        <v>0</v>
      </c>
      <c r="C84" s="36">
        <f>Fluxo_de_Caixa_Janeiro[[#This Row],[Janeiro]]</f>
        <v>0</v>
      </c>
      <c r="D84" s="82">
        <f>Fluxo_de_Caixa_Janeiro3[[#This Row],[Fevereiro]]</f>
        <v>0</v>
      </c>
      <c r="E84" s="82">
        <f>Fluxo_de_Caixa_Janeiro34[[#This Row],[Março]]</f>
        <v>0</v>
      </c>
      <c r="F84" s="82"/>
      <c r="G84" s="82"/>
      <c r="H84" s="82"/>
      <c r="I84" s="36"/>
      <c r="J84" s="82"/>
      <c r="K84" s="82"/>
      <c r="L84" s="82"/>
      <c r="M84" s="82"/>
      <c r="N84" s="120"/>
      <c r="O84" s="220">
        <f>SUM(Fluxo_de_Caixa_Janeiro31020[[#This Row],[Janeiro]:[Dezembro]])</f>
        <v>0</v>
      </c>
      <c r="P84" s="192">
        <f t="shared" si="5"/>
        <v>0</v>
      </c>
      <c r="Q84" s="542">
        <v>0</v>
      </c>
      <c r="R84" s="32" t="str">
        <f>IF(Fluxo_de_Caixa_Janeiro31020[[#This Row],[% ACUMULADO  1º Trimes 2026]]&lt;=Fluxo_de_Caixa_Janeiro31020[[#This Row],[% ACUMULADO  1º Trimes 2025]],"VERDADEIRO","FALSO")</f>
        <v>VERDADEIRO</v>
      </c>
      <c r="V84" s="511">
        <v>0</v>
      </c>
      <c r="W84" s="584">
        <v>0</v>
      </c>
    </row>
    <row r="85" spans="1:23" ht="24" thickBot="1" x14ac:dyDescent="0.4">
      <c r="B85" s="54" t="str">
        <f>Fluxo_de_Caixa_Janeiro[[#This Row],[Fluxo de Caixa 2026 CTR]]</f>
        <v xml:space="preserve">Total dos Custos </v>
      </c>
      <c r="C85" s="43">
        <f>Fluxo_de_Caixa_Janeiro[[#This Row],[Janeiro]]</f>
        <v>-518629.22</v>
      </c>
      <c r="D85" s="91">
        <f>Fluxo_de_Caixa_Janeiro3[[#This Row],[Fevereiro]]</f>
        <v>-653772.64000000013</v>
      </c>
      <c r="E85" s="91">
        <f>Fluxo_de_Caixa_Janeiro34[[#This Row],[Março]]</f>
        <v>-530050.30000000005</v>
      </c>
      <c r="F85" s="91"/>
      <c r="G85" s="91"/>
      <c r="H85" s="91"/>
      <c r="I85" s="43"/>
      <c r="J85" s="91"/>
      <c r="K85" s="91"/>
      <c r="L85" s="91"/>
      <c r="M85" s="91"/>
      <c r="N85" s="127"/>
      <c r="O85" s="217">
        <f>SUM(Fluxo_de_Caixa_Janeiro31020[[#This Row],[Janeiro]:[Dezembro]])</f>
        <v>-1702452.1600000001</v>
      </c>
      <c r="P85" s="199">
        <f>IFERROR(O85/O27,"0,00%")</f>
        <v>-0.59195713799732019</v>
      </c>
      <c r="Q85" s="314">
        <v>-0.73353968181271434</v>
      </c>
      <c r="R85" s="32" t="str">
        <f>IF(Fluxo_de_Caixa_Janeiro31020[[#This Row],[% ACUMULADO  1º Trimes 2026]]&gt;=Fluxo_de_Caixa_Janeiro31020[[#This Row],[% ACUMULADO  1º Trimes 2025]],"VERDADEIRO","FALSO")</f>
        <v>VERDADEIRO</v>
      </c>
      <c r="V85" s="508">
        <v>-1973553.26</v>
      </c>
      <c r="W85" s="585">
        <v>-0.73353968181271434</v>
      </c>
    </row>
    <row r="86" spans="1:23" ht="24" thickBot="1" x14ac:dyDescent="0.4">
      <c r="B86" s="273" t="str">
        <f>Fluxo_de_Caixa_Janeiro[[#This Row],[Fluxo de Caixa 2026 CTR]]</f>
        <v>Receita Operacional Bruta</v>
      </c>
      <c r="C86" s="200">
        <f>Fluxo_de_Caixa_Janeiro[[#This Row],[Janeiro]]</f>
        <v>231003.70999999996</v>
      </c>
      <c r="D86" s="201">
        <f>Fluxo_de_Caixa_Janeiro3[[#This Row],[Fevereiro]]</f>
        <v>384816.44999999995</v>
      </c>
      <c r="E86" s="201">
        <f>Fluxo_de_Caixa_Janeiro34[[#This Row],[Março]]</f>
        <v>557699.68999999994</v>
      </c>
      <c r="F86" s="201"/>
      <c r="G86" s="201"/>
      <c r="H86" s="201"/>
      <c r="I86" s="200"/>
      <c r="J86" s="201"/>
      <c r="K86" s="201"/>
      <c r="L86" s="201"/>
      <c r="M86" s="201"/>
      <c r="N86" s="202"/>
      <c r="O86" s="289">
        <f>SUM(Fluxo_de_Caixa_Janeiro31020[[#This Row],[Janeiro]:[Dezembro]])</f>
        <v>1173519.8499999999</v>
      </c>
      <c r="P86" s="203">
        <f>IFERROR(O86/O27,"0,00%")</f>
        <v>0.40804286200267992</v>
      </c>
      <c r="Q86" s="544">
        <v>0.26646031818728566</v>
      </c>
      <c r="R86" s="32" t="str">
        <f>IF(Fluxo_de_Caixa_Janeiro31020[[#This Row],[% ACUMULADO  1º Trimes 2026]]&gt;=Fluxo_de_Caixa_Janeiro31020[[#This Row],[% ACUMULADO  1º Trimes 2025]],"VERDADEIRO","FALSO")</f>
        <v>VERDADEIRO</v>
      </c>
      <c r="S86" s="658"/>
      <c r="V86" s="512">
        <v>716898.67999999993</v>
      </c>
      <c r="W86" s="586">
        <v>0.26646031818728566</v>
      </c>
    </row>
    <row r="87" spans="1:23" ht="24" thickBot="1" x14ac:dyDescent="0.4">
      <c r="B87" s="274" t="str">
        <f>Fluxo_de_Caixa_Janeiro[[#This Row],[Fluxo de Caixa 2026 CTR]]</f>
        <v xml:space="preserve">300. Despesas Operac. Fixas e Variáveis </v>
      </c>
      <c r="C87" s="204">
        <f>Fluxo_de_Caixa_Janeiro[[#This Row],[Janeiro]]</f>
        <v>0</v>
      </c>
      <c r="D87" s="249">
        <f>Fluxo_de_Caixa_Janeiro3[[#This Row],[Fevereiro]]</f>
        <v>0</v>
      </c>
      <c r="E87" s="249">
        <f>Fluxo_de_Caixa_Janeiro34[[#This Row],[Março]]</f>
        <v>0</v>
      </c>
      <c r="F87" s="249"/>
      <c r="G87" s="249"/>
      <c r="H87" s="403"/>
      <c r="I87" s="249"/>
      <c r="J87" s="249"/>
      <c r="K87" s="249"/>
      <c r="L87" s="249"/>
      <c r="M87" s="249"/>
      <c r="N87" s="249"/>
      <c r="O87" s="221"/>
      <c r="P87" s="205"/>
      <c r="Q87" s="545"/>
      <c r="R87" s="32" t="str">
        <f>IF(Fluxo_de_Caixa_Janeiro31020[[#This Row],[% ACUMULADO  1º Trimes 2026]]&lt;=Fluxo_de_Caixa_Janeiro31020[[#This Row],[% ACUMULADO  1º Trimes 2025]],"VERDADEIRO","FALSO")</f>
        <v>VERDADEIRO</v>
      </c>
      <c r="V87" s="513"/>
      <c r="W87" s="587"/>
    </row>
    <row r="88" spans="1:23" ht="19.5" thickBot="1" x14ac:dyDescent="0.35">
      <c r="A88" s="14" t="s">
        <v>2</v>
      </c>
      <c r="B88" s="275" t="str">
        <f>Fluxo_de_Caixa_Janeiro[[#This Row],[Fluxo de Caixa 2026 CTR]]</f>
        <v xml:space="preserve">3.1. DESPESA COM VENDAS   </v>
      </c>
      <c r="C88" s="157">
        <f>Fluxo_de_Caixa_Janeiro[[#This Row],[Janeiro]]</f>
        <v>-60045.89</v>
      </c>
      <c r="D88" s="94">
        <f>Fluxo_de_Caixa_Janeiro3[[#This Row],[Fevereiro]]</f>
        <v>-74448.100000000006</v>
      </c>
      <c r="E88" s="94">
        <f>Fluxo_de_Caixa_Janeiro34[[#This Row],[Março]]</f>
        <v>-50419.469999999994</v>
      </c>
      <c r="F88" s="94"/>
      <c r="G88" s="94"/>
      <c r="H88" s="94"/>
      <c r="I88" s="157"/>
      <c r="J88" s="94"/>
      <c r="K88" s="94"/>
      <c r="L88" s="94"/>
      <c r="M88" s="94"/>
      <c r="N88" s="128"/>
      <c r="O88" s="222">
        <f>SUM(Fluxo_de_Caixa_Janeiro31020[[#This Row],[Janeiro]:[Dezembro]])</f>
        <v>-184913.46</v>
      </c>
      <c r="P88" s="143">
        <f>-IFERROR(O88/$O$27,"0,00")</f>
        <v>6.42959873590703E-2</v>
      </c>
      <c r="Q88" s="546">
        <v>3.330360920700929E-2</v>
      </c>
      <c r="R88" s="32" t="str">
        <f>IF(Fluxo_de_Caixa_Janeiro31020[[#This Row],[% ACUMULADO  1º Trimes 2026]]&lt;=Fluxo_de_Caixa_Janeiro31020[[#This Row],[% ACUMULADO  1º Trimes 2025]],"VERDADEIRO","FALSO")</f>
        <v>FALSO</v>
      </c>
      <c r="S88" s="659"/>
      <c r="V88" s="514">
        <v>-89601.760000000009</v>
      </c>
      <c r="W88" s="588">
        <v>3.330360920700929E-2</v>
      </c>
    </row>
    <row r="89" spans="1:23" x14ac:dyDescent="0.25">
      <c r="B89" s="169" t="str">
        <f>Fluxo_de_Caixa_Janeiro[[#This Row],[Fluxo de Caixa 2026 CTR]]</f>
        <v xml:space="preserve">3.1.01. Marketing e Propaganda </v>
      </c>
      <c r="C89" s="41">
        <f>Fluxo_de_Caixa_Janeiro[[#This Row],[Janeiro]]</f>
        <v>2535</v>
      </c>
      <c r="D89" s="81">
        <f>Fluxo_de_Caixa_Janeiro3[[#This Row],[Fevereiro]]</f>
        <v>2535</v>
      </c>
      <c r="E89" s="81">
        <f>Fluxo_de_Caixa_Janeiro34[[#This Row],[Março]]</f>
        <v>2535</v>
      </c>
      <c r="F89" s="81"/>
      <c r="G89" s="81"/>
      <c r="H89" s="81"/>
      <c r="I89" s="41"/>
      <c r="J89" s="81"/>
      <c r="K89" s="81"/>
      <c r="L89" s="81"/>
      <c r="M89" s="81"/>
      <c r="N89" s="118"/>
      <c r="O89" s="223">
        <f>SUM(Fluxo_de_Caixa_Janeiro31020[[#This Row],[Janeiro]:[Dezembro]])</f>
        <v>7605</v>
      </c>
      <c r="P89" s="193">
        <f t="shared" ref="P89:P99" si="6">IFERROR(O89/$O$27,"0,00%")</f>
        <v>2.6443233708661859E-3</v>
      </c>
      <c r="Q89" s="547">
        <v>2.6566540341174056E-3</v>
      </c>
      <c r="R89" s="32" t="str">
        <f>IF(Fluxo_de_Caixa_Janeiro31020[[#This Row],[% ACUMULADO  1º Trimes 2026]]&lt;=Fluxo_de_Caixa_Janeiro31020[[#This Row],[% ACUMULADO  1º Trimes 2025]],"VERDADEIRO","FALSO")</f>
        <v>VERDADEIRO</v>
      </c>
      <c r="V89" s="515">
        <v>7147.6</v>
      </c>
      <c r="W89" s="589">
        <v>2.6566540341174056E-3</v>
      </c>
    </row>
    <row r="90" spans="1:23" x14ac:dyDescent="0.25">
      <c r="B90" s="55" t="str">
        <f>Fluxo_de_Caixa_Janeiro[[#This Row],[Fluxo de Caixa 2026 CTR]]</f>
        <v>3.1.02. Promoções e Eventos(Brindes/Café da Manhã p clientes/etc)</v>
      </c>
      <c r="C90" s="35">
        <f>Fluxo_de_Caixa_Janeiro[[#This Row],[Janeiro]]</f>
        <v>0</v>
      </c>
      <c r="D90" s="62">
        <f>Fluxo_de_Caixa_Janeiro3[[#This Row],[Fevereiro]]</f>
        <v>0</v>
      </c>
      <c r="E90" s="62">
        <f>Fluxo_de_Caixa_Janeiro34[[#This Row],[Março]]</f>
        <v>0</v>
      </c>
      <c r="F90" s="62"/>
      <c r="G90" s="62"/>
      <c r="H90" s="62"/>
      <c r="I90" s="35"/>
      <c r="J90" s="62"/>
      <c r="K90" s="62"/>
      <c r="L90" s="62"/>
      <c r="M90" s="62"/>
      <c r="N90" s="119"/>
      <c r="O90" s="224">
        <f>SUM(Fluxo_de_Caixa_Janeiro31020[[#This Row],[Janeiro]:[Dezembro]])</f>
        <v>0</v>
      </c>
      <c r="P90" s="194">
        <f t="shared" si="6"/>
        <v>0</v>
      </c>
      <c r="Q90" s="317">
        <v>2.6389618392514383E-3</v>
      </c>
      <c r="R90" s="32" t="str">
        <f>IF(Fluxo_de_Caixa_Janeiro31020[[#This Row],[% ACUMULADO  1º Trimes 2026]]&lt;=Fluxo_de_Caixa_Janeiro31020[[#This Row],[% ACUMULADO  1º Trimes 2025]],"VERDADEIRO","FALSO")</f>
        <v>VERDADEIRO</v>
      </c>
      <c r="V90" s="516">
        <v>7100</v>
      </c>
      <c r="W90" s="590">
        <v>2.6389618392514383E-3</v>
      </c>
    </row>
    <row r="91" spans="1:23" x14ac:dyDescent="0.25">
      <c r="B91" s="55" t="str">
        <f>Fluxo_de_Caixa_Janeiro[[#This Row],[Fluxo de Caixa 2026 CTR]]</f>
        <v>3.1.03. Sacolas e Embalagens</v>
      </c>
      <c r="C91" s="35">
        <f>Fluxo_de_Caixa_Janeiro[[#This Row],[Janeiro]]</f>
        <v>0</v>
      </c>
      <c r="D91" s="62">
        <f>Fluxo_de_Caixa_Janeiro3[[#This Row],[Fevereiro]]</f>
        <v>0</v>
      </c>
      <c r="E91" s="62">
        <f>Fluxo_de_Caixa_Janeiro34[[#This Row],[Março]]</f>
        <v>303.29000000000002</v>
      </c>
      <c r="F91" s="62"/>
      <c r="G91" s="62"/>
      <c r="H91" s="62"/>
      <c r="I91" s="35"/>
      <c r="J91" s="62"/>
      <c r="K91" s="62"/>
      <c r="L91" s="62"/>
      <c r="M91" s="62"/>
      <c r="N91" s="119"/>
      <c r="O91" s="224">
        <f>SUM(Fluxo_de_Caixa_Janeiro31020[[#This Row],[Janeiro]:[Dezembro]])</f>
        <v>303.29000000000002</v>
      </c>
      <c r="P91" s="194">
        <f t="shared" si="6"/>
        <v>1.0545652007232158E-4</v>
      </c>
      <c r="Q91" s="317">
        <v>4.7520269029596566E-4</v>
      </c>
      <c r="R91" s="32" t="str">
        <f>IF(Fluxo_de_Caixa_Janeiro31020[[#This Row],[% ACUMULADO  1º Trimes 2026]]&lt;=Fluxo_de_Caixa_Janeiro31020[[#This Row],[% ACUMULADO  1º Trimes 2025]],"VERDADEIRO","FALSO")</f>
        <v>VERDADEIRO</v>
      </c>
      <c r="V91" s="516">
        <v>1278.51</v>
      </c>
      <c r="W91" s="590">
        <v>4.7520269029596566E-4</v>
      </c>
    </row>
    <row r="92" spans="1:23" x14ac:dyDescent="0.25">
      <c r="B92" s="55" t="str">
        <f>Fluxo_de_Caixa_Janeiro[[#This Row],[Fluxo de Caixa 2026 CTR]]</f>
        <v>3.1.04.DIARIAS E DESPESAS COM VENDEDOR (passagem ônibus, hotel. Etc)</v>
      </c>
      <c r="C92" s="35">
        <f>Fluxo_de_Caixa_Janeiro[[#This Row],[Janeiro]]</f>
        <v>0</v>
      </c>
      <c r="D92" s="62">
        <f>Fluxo_de_Caixa_Janeiro3[[#This Row],[Fevereiro]]</f>
        <v>0</v>
      </c>
      <c r="E92" s="62">
        <f>Fluxo_de_Caixa_Janeiro34[[#This Row],[Março]]</f>
        <v>0</v>
      </c>
      <c r="F92" s="62"/>
      <c r="G92" s="62"/>
      <c r="H92" s="62"/>
      <c r="I92" s="35"/>
      <c r="J92" s="62"/>
      <c r="K92" s="62"/>
      <c r="L92" s="62"/>
      <c r="M92" s="62"/>
      <c r="N92" s="119"/>
      <c r="O92" s="224">
        <f>SUM(Fluxo_de_Caixa_Janeiro31020[[#This Row],[Janeiro]:[Dezembro]])</f>
        <v>0</v>
      </c>
      <c r="P92" s="194">
        <f t="shared" si="6"/>
        <v>0</v>
      </c>
      <c r="Q92" s="317">
        <v>1.5065870308763071E-3</v>
      </c>
      <c r="R92" s="32" t="str">
        <f>IF(Fluxo_de_Caixa_Janeiro31020[[#This Row],[% ACUMULADO  1º Trimes 2026]]&lt;=Fluxo_de_Caixa_Janeiro31020[[#This Row],[% ACUMULADO  1º Trimes 2025]],"VERDADEIRO","FALSO")</f>
        <v>VERDADEIRO</v>
      </c>
      <c r="V92" s="516">
        <v>4053.4</v>
      </c>
      <c r="W92" s="590">
        <v>1.5065870308763071E-3</v>
      </c>
    </row>
    <row r="93" spans="1:23" x14ac:dyDescent="0.25">
      <c r="B93" s="55" t="str">
        <f>Fluxo_de_Caixa_Janeiro[[#This Row],[Fluxo de Caixa 2026 CTR]]</f>
        <v>3.1.05. Comissão Representente Comercial</v>
      </c>
      <c r="C93" s="35">
        <f>Fluxo_de_Caixa_Janeiro[[#This Row],[Janeiro]]</f>
        <v>34232.57</v>
      </c>
      <c r="D93" s="62">
        <f>Fluxo_de_Caixa_Janeiro3[[#This Row],[Fevereiro]]</f>
        <v>57815.85</v>
      </c>
      <c r="E93" s="62">
        <f>Fluxo_de_Caixa_Janeiro34[[#This Row],[Março]]</f>
        <v>34661.589999999997</v>
      </c>
      <c r="F93" s="62"/>
      <c r="G93" s="62"/>
      <c r="H93" s="62"/>
      <c r="I93" s="35"/>
      <c r="J93" s="62"/>
      <c r="K93" s="62"/>
      <c r="L93" s="62"/>
      <c r="M93" s="62"/>
      <c r="N93" s="119"/>
      <c r="O93" s="224">
        <f>SUM(Fluxo_de_Caixa_Janeiro31020[[#This Row],[Janeiro]:[Dezembro]])</f>
        <v>126710.01</v>
      </c>
      <c r="P93" s="657">
        <f t="shared" si="6"/>
        <v>4.405815131698726E-2</v>
      </c>
      <c r="Q93" s="317">
        <v>2.1591941166583337E-2</v>
      </c>
      <c r="R93" s="32" t="str">
        <f>IF(Fluxo_de_Caixa_Janeiro31020[[#This Row],[% ACUMULADO  1º Trimes 2026]]&lt;=Fluxo_de_Caixa_Janeiro31020[[#This Row],[% ACUMULADO  1º Trimes 2025]],"VERDADEIRO","FALSO")</f>
        <v>FALSO</v>
      </c>
      <c r="V93" s="516">
        <v>58092.08</v>
      </c>
      <c r="W93" s="590">
        <v>2.1591941166583337E-2</v>
      </c>
    </row>
    <row r="94" spans="1:23" x14ac:dyDescent="0.25">
      <c r="B94" s="55" t="str">
        <f>Fluxo_de_Caixa_Janeiro[[#This Row],[Fluxo de Caixa 2026 CTR]]</f>
        <v>3.1.06. Frete com entrega de vendas</v>
      </c>
      <c r="C94" s="35">
        <f>Fluxo_de_Caixa_Janeiro[[#This Row],[Janeiro]]</f>
        <v>5767.8</v>
      </c>
      <c r="D94" s="62">
        <f>Fluxo_de_Caixa_Janeiro3[[#This Row],[Fevereiro]]</f>
        <v>5208.04</v>
      </c>
      <c r="E94" s="62">
        <f>Fluxo_de_Caixa_Janeiro34[[#This Row],[Março]]</f>
        <v>5007.88</v>
      </c>
      <c r="F94" s="62"/>
      <c r="G94" s="62"/>
      <c r="H94" s="62"/>
      <c r="I94" s="35"/>
      <c r="J94" s="62"/>
      <c r="K94" s="62"/>
      <c r="L94" s="62"/>
      <c r="M94" s="62"/>
      <c r="N94" s="119"/>
      <c r="O94" s="224">
        <f>SUM(Fluxo_de_Caixa_Janeiro31020[[#This Row],[Janeiro]:[Dezembro]])</f>
        <v>15983.720000000001</v>
      </c>
      <c r="P94" s="194">
        <f t="shared" si="6"/>
        <v>5.5576757855859667E-3</v>
      </c>
      <c r="Q94" s="317">
        <v>2.9174392165503614E-3</v>
      </c>
      <c r="R94" s="32" t="str">
        <f>IF(Fluxo_de_Caixa_Janeiro31020[[#This Row],[% ACUMULADO  1º Trimes 2026]]&lt;=Fluxo_de_Caixa_Janeiro31020[[#This Row],[% ACUMULADO  1º Trimes 2025]],"VERDADEIRO","FALSO")</f>
        <v>FALSO</v>
      </c>
      <c r="V94" s="516">
        <v>7849.23</v>
      </c>
      <c r="W94" s="590">
        <v>2.9174392165503614E-3</v>
      </c>
    </row>
    <row r="95" spans="1:23" x14ac:dyDescent="0.25">
      <c r="B95" s="55" t="str">
        <f>Fluxo_de_Caixa_Janeiro[[#This Row],[Fluxo de Caixa 2026 CTR]]</f>
        <v>3.1.07. TAXAS C/ CART CRÉD/DÉBIT</v>
      </c>
      <c r="C95" s="35">
        <f>Fluxo_de_Caixa_Janeiro[[#This Row],[Janeiro]]</f>
        <v>17461.460000000003</v>
      </c>
      <c r="D95" s="62">
        <f>Fluxo_de_Caixa_Janeiro3[[#This Row],[Fevereiro]]</f>
        <v>8832.2100000000009</v>
      </c>
      <c r="E95" s="62">
        <f>Fluxo_de_Caixa_Janeiro34[[#This Row],[Março]]</f>
        <v>7791.25</v>
      </c>
      <c r="F95" s="62"/>
      <c r="G95" s="62"/>
      <c r="H95" s="62"/>
      <c r="I95" s="35"/>
      <c r="J95" s="62"/>
      <c r="K95" s="62"/>
      <c r="L95" s="62"/>
      <c r="M95" s="62"/>
      <c r="N95" s="119"/>
      <c r="O95" s="224">
        <f>SUM(Fluxo_de_Caixa_Janeiro31020[[#This Row],[Janeiro]:[Dezembro]])</f>
        <v>34084.920000000006</v>
      </c>
      <c r="P95" s="194">
        <f t="shared" si="6"/>
        <v>1.1851617429336528E-2</v>
      </c>
      <c r="Q95" s="317">
        <v>1.516823229334474E-3</v>
      </c>
      <c r="R95" s="32" t="str">
        <f>IF(Fluxo_de_Caixa_Janeiro31020[[#This Row],[% ACUMULADO  1º Trimes 2026]]&lt;=Fluxo_de_Caixa_Janeiro31020[[#This Row],[% ACUMULADO  1º Trimes 2025]],"VERDADEIRO","FALSO")</f>
        <v>FALSO</v>
      </c>
      <c r="V95" s="516">
        <v>4080.94</v>
      </c>
      <c r="W95" s="590">
        <v>1.516823229334474E-3</v>
      </c>
    </row>
    <row r="96" spans="1:23" x14ac:dyDescent="0.25">
      <c r="B96" s="55" t="str">
        <f>Fluxo_de_Caixa_Janeiro[[#This Row],[Fluxo de Caixa 2026 CTR]]</f>
        <v>3.1.08. Serviço Motoboy Entrega Vendas</v>
      </c>
      <c r="C96" s="35">
        <f>Fluxo_de_Caixa_Janeiro[[#This Row],[Janeiro]]</f>
        <v>0</v>
      </c>
      <c r="D96" s="62">
        <f>Fluxo_de_Caixa_Janeiro3[[#This Row],[Fevereiro]]</f>
        <v>0</v>
      </c>
      <c r="E96" s="62">
        <f>Fluxo_de_Caixa_Janeiro34[[#This Row],[Março]]</f>
        <v>0</v>
      </c>
      <c r="F96" s="62"/>
      <c r="G96" s="62"/>
      <c r="H96" s="62"/>
      <c r="I96" s="35"/>
      <c r="J96" s="62"/>
      <c r="K96" s="62"/>
      <c r="L96" s="62"/>
      <c r="M96" s="62"/>
      <c r="N96" s="119"/>
      <c r="O96" s="224">
        <f>SUM(Fluxo_de_Caixa_Janeiro31020[[#This Row],[Janeiro]:[Dezembro]])</f>
        <v>0</v>
      </c>
      <c r="P96" s="194">
        <f t="shared" si="6"/>
        <v>0</v>
      </c>
      <c r="Q96" s="317">
        <v>0</v>
      </c>
      <c r="R96" s="32" t="str">
        <f>IF(Fluxo_de_Caixa_Janeiro31020[[#This Row],[% ACUMULADO  1º Trimes 2026]]&lt;=Fluxo_de_Caixa_Janeiro31020[[#This Row],[% ACUMULADO  1º Trimes 2025]],"VERDADEIRO","FALSO")</f>
        <v>VERDADEIRO</v>
      </c>
      <c r="V96" s="516">
        <v>0</v>
      </c>
      <c r="W96" s="590">
        <v>0</v>
      </c>
    </row>
    <row r="97" spans="1:23" x14ac:dyDescent="0.25">
      <c r="B97" s="55" t="str">
        <f>Fluxo_de_Caixa_Janeiro[[#This Row],[Fluxo de Caixa 2026 CTR]]</f>
        <v>3.1.09. PGTO DISTRATO REPRES COMERCIAL</v>
      </c>
      <c r="C97" s="35">
        <f>Fluxo_de_Caixa_Janeiro[[#This Row],[Janeiro]]</f>
        <v>0</v>
      </c>
      <c r="D97" s="62">
        <f>Fluxo_de_Caixa_Janeiro3[[#This Row],[Fevereiro]]</f>
        <v>0</v>
      </c>
      <c r="E97" s="62">
        <f>Fluxo_de_Caixa_Janeiro34[[#This Row],[Março]]</f>
        <v>0</v>
      </c>
      <c r="F97" s="62"/>
      <c r="G97" s="62"/>
      <c r="H97" s="62"/>
      <c r="I97" s="35"/>
      <c r="J97" s="62"/>
      <c r="K97" s="62"/>
      <c r="L97" s="62"/>
      <c r="M97" s="62"/>
      <c r="N97" s="119"/>
      <c r="O97" s="224">
        <f>SUM(Fluxo_de_Caixa_Janeiro31020[[#This Row],[Janeiro]:[Dezembro]])</f>
        <v>0</v>
      </c>
      <c r="P97" s="194">
        <f t="shared" si="6"/>
        <v>0</v>
      </c>
      <c r="Q97" s="317">
        <v>0</v>
      </c>
      <c r="R97" s="32" t="str">
        <f>IF(Fluxo_de_Caixa_Janeiro31020[[#This Row],[% ACUMULADO  1º Trimes 2026]]&lt;=Fluxo_de_Caixa_Janeiro31020[[#This Row],[% ACUMULADO  1º Trimes 2025]],"VERDADEIRO","FALSO")</f>
        <v>VERDADEIRO</v>
      </c>
      <c r="V97" s="516">
        <v>0</v>
      </c>
      <c r="W97" s="590">
        <v>0</v>
      </c>
    </row>
    <row r="98" spans="1:23" ht="15.75" thickBot="1" x14ac:dyDescent="0.3">
      <c r="B98" s="55" t="str">
        <f>Fluxo_de_Caixa_Janeiro[[#This Row],[Fluxo de Caixa 2026 CTR]]</f>
        <v>3.1.10. TARIFA PIX RECEBIDO</v>
      </c>
      <c r="C98" s="35">
        <f>Fluxo_de_Caixa_Janeiro[[#This Row],[Janeiro]]</f>
        <v>49.06</v>
      </c>
      <c r="D98" s="62">
        <f>Fluxo_de_Caixa_Janeiro3[[#This Row],[Fevereiro]]</f>
        <v>57</v>
      </c>
      <c r="E98" s="62">
        <f>Fluxo_de_Caixa_Janeiro34[[#This Row],[Março]]</f>
        <v>120.46</v>
      </c>
      <c r="F98" s="62"/>
      <c r="G98" s="62"/>
      <c r="H98" s="62"/>
      <c r="I98" s="35"/>
      <c r="J98" s="62"/>
      <c r="K98" s="62"/>
      <c r="L98" s="62"/>
      <c r="M98" s="62"/>
      <c r="N98" s="119"/>
      <c r="O98" s="224">
        <f>SUM(Fluxo_de_Caixa_Janeiro31020[[#This Row],[Janeiro]:[Dezembro]])</f>
        <v>226.51999999999998</v>
      </c>
      <c r="P98" s="194">
        <f t="shared" si="6"/>
        <v>7.8762936222039241E-5</v>
      </c>
      <c r="Q98" s="317">
        <v>0</v>
      </c>
      <c r="R98" s="32" t="str">
        <f>IF(Fluxo_de_Caixa_Janeiro31020[[#This Row],[% ACUMULADO  1º Trimes 2026]]&lt;=Fluxo_de_Caixa_Janeiro31020[[#This Row],[% ACUMULADO  1º Trimes 2025]],"VERDADEIRO","FALSO")</f>
        <v>FALSO</v>
      </c>
      <c r="V98" s="516">
        <v>0</v>
      </c>
      <c r="W98" s="590">
        <v>0</v>
      </c>
    </row>
    <row r="99" spans="1:23" ht="15.75" hidden="1" thickBot="1" x14ac:dyDescent="0.3">
      <c r="B99" s="276">
        <f>Fluxo_de_Caixa_Janeiro[[#This Row],[Fluxo de Caixa 2026 CTR]]</f>
        <v>0</v>
      </c>
      <c r="C99" s="36">
        <f>Fluxo_de_Caixa_Janeiro[[#This Row],[Janeiro]]</f>
        <v>0</v>
      </c>
      <c r="D99" s="82">
        <f>Fluxo_de_Caixa_Janeiro3[[#This Row],[Fevereiro]]</f>
        <v>0</v>
      </c>
      <c r="E99" s="82">
        <f>Fluxo_de_Caixa_Janeiro34[[#This Row],[Março]]</f>
        <v>0</v>
      </c>
      <c r="F99" s="82"/>
      <c r="G99" s="82"/>
      <c r="H99" s="82"/>
      <c r="I99" s="36"/>
      <c r="J99" s="82"/>
      <c r="K99" s="82"/>
      <c r="L99" s="82"/>
      <c r="M99" s="82"/>
      <c r="N99" s="120"/>
      <c r="O99" s="225">
        <f>SUM(Fluxo_de_Caixa_Janeiro31020[[#This Row],[Janeiro]:[Dezembro]])</f>
        <v>0</v>
      </c>
      <c r="P99" s="195">
        <f t="shared" si="6"/>
        <v>0</v>
      </c>
      <c r="Q99" s="548">
        <v>0</v>
      </c>
      <c r="R99" s="32" t="str">
        <f>IF(Fluxo_de_Caixa_Janeiro31020[[#This Row],[% ACUMULADO  1º Trimes 2026]]&lt;=Fluxo_de_Caixa_Janeiro31020[[#This Row],[% ACUMULADO  1º Trimes 2025]],"VERDADEIRO","FALSO")</f>
        <v>VERDADEIRO</v>
      </c>
      <c r="V99" s="517">
        <v>0</v>
      </c>
      <c r="W99" s="591">
        <v>0</v>
      </c>
    </row>
    <row r="100" spans="1:23" ht="19.5" thickBot="1" x14ac:dyDescent="0.35">
      <c r="A100" s="15" t="s">
        <v>3</v>
      </c>
      <c r="B100" s="168" t="str">
        <f>Fluxo_de_Caixa_Janeiro[[#This Row],[Fluxo de Caixa 2026 CTR]]</f>
        <v>3.2. DESPESA COM FUNCIONÁRIO</v>
      </c>
      <c r="C100" s="158">
        <f>Fluxo_de_Caixa_Janeiro[[#This Row],[Janeiro]]</f>
        <v>-64579.58</v>
      </c>
      <c r="D100" s="97">
        <f>Fluxo_de_Caixa_Janeiro3[[#This Row],[Fevereiro]]</f>
        <v>-65616.5</v>
      </c>
      <c r="E100" s="97">
        <f>Fluxo_de_Caixa_Janeiro34[[#This Row],[Março]]</f>
        <v>-99956.93</v>
      </c>
      <c r="F100" s="97"/>
      <c r="G100" s="97"/>
      <c r="H100" s="97"/>
      <c r="I100" s="158"/>
      <c r="J100" s="97"/>
      <c r="K100" s="97"/>
      <c r="L100" s="97"/>
      <c r="M100" s="97"/>
      <c r="N100" s="129"/>
      <c r="O100" s="226">
        <f>SUM(Fluxo_de_Caixa_Janeiro31020[[#This Row],[Janeiro]:[Dezembro]])</f>
        <v>-230153.01</v>
      </c>
      <c r="P100" s="144">
        <f>-IFERROR(O100/$O$27,"0,00")</f>
        <v>8.0026164788717824E-2</v>
      </c>
      <c r="Q100" s="549">
        <v>8.9424247437030951E-2</v>
      </c>
      <c r="R100" s="32" t="str">
        <f>IF(Fluxo_de_Caixa_Janeiro31020[[#This Row],[% ACUMULADO  1º Trimes 2026]]&lt;=Fluxo_de_Caixa_Janeiro31020[[#This Row],[% ACUMULADO  1º Trimes 2025]],"VERDADEIRO","FALSO")</f>
        <v>VERDADEIRO</v>
      </c>
      <c r="S100" s="658"/>
      <c r="V100" s="518">
        <v>-240591.63999999996</v>
      </c>
      <c r="W100" s="592">
        <v>8.9424247437030951E-2</v>
      </c>
    </row>
    <row r="101" spans="1:23" x14ac:dyDescent="0.25">
      <c r="B101" s="169" t="str">
        <f>Fluxo_de_Caixa_Janeiro[[#This Row],[Fluxo de Caixa 2026 CTR]]</f>
        <v>3.2.01. Salário (CLT)</v>
      </c>
      <c r="C101" s="41">
        <f>Fluxo_de_Caixa_Janeiro[[#This Row],[Janeiro]]</f>
        <v>31184.5</v>
      </c>
      <c r="D101" s="81">
        <f>Fluxo_de_Caixa_Janeiro3[[#This Row],[Fevereiro]]</f>
        <v>33069.85</v>
      </c>
      <c r="E101" s="81">
        <f>Fluxo_de_Caixa_Janeiro34[[#This Row],[Março]]</f>
        <v>33411.65</v>
      </c>
      <c r="F101" s="81"/>
      <c r="G101" s="81"/>
      <c r="H101" s="81"/>
      <c r="I101" s="41"/>
      <c r="J101" s="81"/>
      <c r="K101" s="81"/>
      <c r="L101" s="81"/>
      <c r="M101" s="81"/>
      <c r="N101" s="118"/>
      <c r="O101" s="223">
        <f>SUM(Fluxo_de_Caixa_Janeiro31020[[#This Row],[Janeiro]:[Dezembro]])</f>
        <v>97666</v>
      </c>
      <c r="P101" s="193">
        <f t="shared" ref="P101:P130" si="7">IFERROR(O101/$O$27,"0,00%")</f>
        <v>3.3959301293756336E-2</v>
      </c>
      <c r="Q101" s="547">
        <v>3.608719730559469E-2</v>
      </c>
      <c r="R101" s="32" t="str">
        <f>IF(Fluxo_de_Caixa_Janeiro31020[[#This Row],[% ACUMULADO  1º Trimes 2026]]&lt;=Fluxo_de_Caixa_Janeiro31020[[#This Row],[% ACUMULADO  1º Trimes 2025]],"VERDADEIRO","FALSO")</f>
        <v>VERDADEIRO</v>
      </c>
      <c r="V101" s="515">
        <v>97090.87</v>
      </c>
      <c r="W101" s="589">
        <v>3.608719730559469E-2</v>
      </c>
    </row>
    <row r="102" spans="1:23" x14ac:dyDescent="0.25">
      <c r="B102" s="55" t="str">
        <f>Fluxo_de_Caixa_Janeiro[[#This Row],[Fluxo de Caixa 2026 CTR]]</f>
        <v>3.2.02. Adiantamento Salários/Vales</v>
      </c>
      <c r="C102" s="35">
        <f>Fluxo_de_Caixa_Janeiro[[#This Row],[Janeiro]]</f>
        <v>1400</v>
      </c>
      <c r="D102" s="62">
        <f>Fluxo_de_Caixa_Janeiro3[[#This Row],[Fevereiro]]</f>
        <v>800</v>
      </c>
      <c r="E102" s="62">
        <f>Fluxo_de_Caixa_Janeiro34[[#This Row],[Março]]</f>
        <v>1450</v>
      </c>
      <c r="F102" s="62"/>
      <c r="G102" s="62"/>
      <c r="H102" s="62"/>
      <c r="I102" s="35"/>
      <c r="J102" s="62"/>
      <c r="K102" s="62"/>
      <c r="L102" s="62"/>
      <c r="M102" s="62"/>
      <c r="N102" s="119"/>
      <c r="O102" s="224">
        <f>SUM(Fluxo_de_Caixa_Janeiro31020[[#This Row],[Janeiro]:[Dezembro]])</f>
        <v>3650</v>
      </c>
      <c r="P102" s="194">
        <f t="shared" si="7"/>
        <v>1.269136134603758E-3</v>
      </c>
      <c r="Q102" s="317">
        <v>6.3186410235597818E-4</v>
      </c>
      <c r="R102" s="32" t="str">
        <f>IF(Fluxo_de_Caixa_Janeiro31020[[#This Row],[% ACUMULADO  1º Trimes 2026]]&lt;=Fluxo_de_Caixa_Janeiro31020[[#This Row],[% ACUMULADO  1º Trimes 2025]],"VERDADEIRO","FALSO")</f>
        <v>FALSO</v>
      </c>
      <c r="T102" s="287"/>
      <c r="V102" s="516">
        <v>1700</v>
      </c>
      <c r="W102" s="590">
        <v>6.3186410235597818E-4</v>
      </c>
    </row>
    <row r="103" spans="1:23" x14ac:dyDescent="0.25">
      <c r="B103" s="55" t="str">
        <f>Fluxo_de_Caixa_Janeiro[[#This Row],[Fluxo de Caixa 2026 CTR]]</f>
        <v xml:space="preserve">3.2.03. Auxilio Alimentação/Refeição </v>
      </c>
      <c r="C103" s="35">
        <f>Fluxo_de_Caixa_Janeiro[[#This Row],[Janeiro]]</f>
        <v>3219.28</v>
      </c>
      <c r="D103" s="62">
        <f>Fluxo_de_Caixa_Janeiro3[[#This Row],[Fevereiro]]</f>
        <v>2091.1</v>
      </c>
      <c r="E103" s="62">
        <f>Fluxo_de_Caixa_Janeiro34[[#This Row],[Março]]</f>
        <v>1920.1299999999999</v>
      </c>
      <c r="F103" s="62"/>
      <c r="G103" s="62"/>
      <c r="H103" s="62"/>
      <c r="I103" s="35"/>
      <c r="J103" s="62"/>
      <c r="K103" s="62"/>
      <c r="L103" s="62"/>
      <c r="M103" s="62"/>
      <c r="N103" s="119"/>
      <c r="O103" s="224">
        <f>SUM(Fluxo_de_Caixa_Janeiro31020[[#This Row],[Janeiro]:[Dezembro]])</f>
        <v>7230.51</v>
      </c>
      <c r="P103" s="194">
        <f t="shared" si="7"/>
        <v>2.5141100034558406E-3</v>
      </c>
      <c r="Q103" s="317">
        <v>4.3762238696596085E-3</v>
      </c>
      <c r="R103" s="32" t="str">
        <f>IF(Fluxo_de_Caixa_Janeiro31020[[#This Row],[% ACUMULADO  1º Trimes 2026]]&lt;=Fluxo_de_Caixa_Janeiro31020[[#This Row],[% ACUMULADO  1º Trimes 2025]],"VERDADEIRO","FALSO")</f>
        <v>VERDADEIRO</v>
      </c>
      <c r="V103" s="516">
        <v>11774.02</v>
      </c>
      <c r="W103" s="590">
        <v>4.3762238696596085E-3</v>
      </c>
    </row>
    <row r="104" spans="1:23" x14ac:dyDescent="0.25">
      <c r="B104" s="55" t="str">
        <f>Fluxo_de_Caixa_Janeiro[[#This Row],[Fluxo de Caixa 2026 CTR]]</f>
        <v>3.2.04. Auxilio Combustível</v>
      </c>
      <c r="C104" s="35">
        <f>Fluxo_de_Caixa_Janeiro[[#This Row],[Janeiro]]</f>
        <v>0</v>
      </c>
      <c r="D104" s="62">
        <f>Fluxo_de_Caixa_Janeiro3[[#This Row],[Fevereiro]]</f>
        <v>0</v>
      </c>
      <c r="E104" s="62">
        <f>Fluxo_de_Caixa_Janeiro34[[#This Row],[Março]]</f>
        <v>0</v>
      </c>
      <c r="F104" s="62"/>
      <c r="G104" s="62"/>
      <c r="H104" s="62"/>
      <c r="I104" s="35"/>
      <c r="J104" s="62"/>
      <c r="K104" s="62"/>
      <c r="L104" s="62"/>
      <c r="M104" s="62"/>
      <c r="N104" s="119"/>
      <c r="O104" s="224">
        <f>SUM(Fluxo_de_Caixa_Janeiro31020[[#This Row],[Janeiro]:[Dezembro]])</f>
        <v>0</v>
      </c>
      <c r="P104" s="194">
        <f t="shared" si="7"/>
        <v>0</v>
      </c>
      <c r="Q104" s="317">
        <v>0</v>
      </c>
      <c r="R104" s="32" t="str">
        <f>IF(Fluxo_de_Caixa_Janeiro31020[[#This Row],[% ACUMULADO  1º Trimes 2026]]&lt;=Fluxo_de_Caixa_Janeiro31020[[#This Row],[% ACUMULADO  1º Trimes 2025]],"VERDADEIRO","FALSO")</f>
        <v>VERDADEIRO</v>
      </c>
      <c r="V104" s="516">
        <v>0</v>
      </c>
      <c r="W104" s="590">
        <v>0</v>
      </c>
    </row>
    <row r="105" spans="1:23" x14ac:dyDescent="0.25">
      <c r="B105" s="55" t="str">
        <f>Fluxo_de_Caixa_Janeiro[[#This Row],[Fluxo de Caixa 2026 CTR]]</f>
        <v>3.2.05. Seguro de Vida Funcionarios</v>
      </c>
      <c r="C105" s="35">
        <f>Fluxo_de_Caixa_Janeiro[[#This Row],[Janeiro]]</f>
        <v>492.03</v>
      </c>
      <c r="D105" s="62">
        <f>Fluxo_de_Caixa_Janeiro3[[#This Row],[Fevereiro]]</f>
        <v>549.97</v>
      </c>
      <c r="E105" s="62">
        <f>Fluxo_de_Caixa_Janeiro34[[#This Row],[Março]]</f>
        <v>445.17</v>
      </c>
      <c r="F105" s="62"/>
      <c r="G105" s="62"/>
      <c r="H105" s="62"/>
      <c r="I105" s="35"/>
      <c r="J105" s="62"/>
      <c r="K105" s="62"/>
      <c r="L105" s="62"/>
      <c r="M105" s="62"/>
      <c r="N105" s="119"/>
      <c r="O105" s="224">
        <f>SUM(Fluxo_de_Caixa_Janeiro31020[[#This Row],[Janeiro]:[Dezembro]])</f>
        <v>1487.17</v>
      </c>
      <c r="P105" s="194">
        <f t="shared" si="7"/>
        <v>5.1710169460237557E-4</v>
      </c>
      <c r="Q105" s="317">
        <v>3.466815318767597E-4</v>
      </c>
      <c r="R105" s="32" t="str">
        <f>IF(Fluxo_de_Caixa_Janeiro31020[[#This Row],[% ACUMULADO  1º Trimes 2026]]&lt;=Fluxo_de_Caixa_Janeiro31020[[#This Row],[% ACUMULADO  1º Trimes 2025]],"VERDADEIRO","FALSO")</f>
        <v>FALSO</v>
      </c>
      <c r="V105" s="516">
        <v>932.7299999999999</v>
      </c>
      <c r="W105" s="590">
        <v>3.466815318767597E-4</v>
      </c>
    </row>
    <row r="106" spans="1:23" x14ac:dyDescent="0.25">
      <c r="B106" s="55" t="str">
        <f>Fluxo_de_Caixa_Janeiro[[#This Row],[Fluxo de Caixa 2026 CTR]]</f>
        <v>3.2.06. Confraternização e premiação</v>
      </c>
      <c r="C106" s="35">
        <f>Fluxo_de_Caixa_Janeiro[[#This Row],[Janeiro]]</f>
        <v>650.47</v>
      </c>
      <c r="D106" s="62">
        <f>Fluxo_de_Caixa_Janeiro3[[#This Row],[Fevereiro]]</f>
        <v>438.77</v>
      </c>
      <c r="E106" s="62">
        <f>Fluxo_de_Caixa_Janeiro34[[#This Row],[Março]]</f>
        <v>2053.42</v>
      </c>
      <c r="F106" s="62"/>
      <c r="G106" s="62"/>
      <c r="H106" s="62"/>
      <c r="I106" s="35"/>
      <c r="J106" s="62"/>
      <c r="K106" s="62"/>
      <c r="L106" s="62"/>
      <c r="M106" s="62"/>
      <c r="N106" s="119"/>
      <c r="O106" s="224">
        <f>SUM(Fluxo_de_Caixa_Janeiro31020[[#This Row],[Janeiro]:[Dezembro]])</f>
        <v>3142.66</v>
      </c>
      <c r="P106" s="194">
        <f t="shared" si="7"/>
        <v>1.0927296889791359E-3</v>
      </c>
      <c r="Q106" s="317">
        <v>1.117648657942576E-3</v>
      </c>
      <c r="R106" s="32" t="str">
        <f>IF(Fluxo_de_Caixa_Janeiro31020[[#This Row],[% ACUMULADO  1º Trimes 2026]]&lt;=Fluxo_de_Caixa_Janeiro31020[[#This Row],[% ACUMULADO  1º Trimes 2025]],"VERDADEIRO","FALSO")</f>
        <v>VERDADEIRO</v>
      </c>
      <c r="V106" s="516">
        <v>3006.98</v>
      </c>
      <c r="W106" s="590">
        <v>1.117648657942576E-3</v>
      </c>
    </row>
    <row r="107" spans="1:23" x14ac:dyDescent="0.25">
      <c r="B107" s="55" t="str">
        <f>Fluxo_de_Caixa_Janeiro[[#This Row],[Fluxo de Caixa 2026 CTR]]</f>
        <v>3.2.07. Viagens e Estadias Funcionarios</v>
      </c>
      <c r="C107" s="35">
        <f>Fluxo_de_Caixa_Janeiro[[#This Row],[Janeiro]]</f>
        <v>0</v>
      </c>
      <c r="D107" s="62">
        <f>Fluxo_de_Caixa_Janeiro3[[#This Row],[Fevereiro]]</f>
        <v>0</v>
      </c>
      <c r="E107" s="62">
        <f>Fluxo_de_Caixa_Janeiro34[[#This Row],[Março]]</f>
        <v>1723.96</v>
      </c>
      <c r="F107" s="62"/>
      <c r="G107" s="62"/>
      <c r="H107" s="62"/>
      <c r="I107" s="35"/>
      <c r="J107" s="62"/>
      <c r="K107" s="62"/>
      <c r="L107" s="62"/>
      <c r="M107" s="62"/>
      <c r="N107" s="119"/>
      <c r="O107" s="224">
        <f>SUM(Fluxo_de_Caixa_Janeiro31020[[#This Row],[Janeiro]:[Dezembro]])</f>
        <v>1723.96</v>
      </c>
      <c r="P107" s="194">
        <f t="shared" si="7"/>
        <v>5.9943559742780671E-4</v>
      </c>
      <c r="Q107" s="317">
        <v>1.4867390643670075E-4</v>
      </c>
      <c r="R107" s="32" t="str">
        <f>IF(Fluxo_de_Caixa_Janeiro31020[[#This Row],[% ACUMULADO  1º Trimes 2026]]&lt;=Fluxo_de_Caixa_Janeiro31020[[#This Row],[% ACUMULADO  1º Trimes 2025]],"VERDADEIRO","FALSO")</f>
        <v>FALSO</v>
      </c>
      <c r="V107" s="516">
        <v>400</v>
      </c>
      <c r="W107" s="590">
        <v>1.4867390643670075E-4</v>
      </c>
    </row>
    <row r="108" spans="1:23" x14ac:dyDescent="0.25">
      <c r="B108" s="55" t="str">
        <f>Fluxo_de_Caixa_Janeiro[[#This Row],[Fluxo de Caixa 2026 CTR]]</f>
        <v>3.2.08. Treinamento e Cursos</v>
      </c>
      <c r="C108" s="35">
        <f>Fluxo_de_Caixa_Janeiro[[#This Row],[Janeiro]]</f>
        <v>1536</v>
      </c>
      <c r="D108" s="62">
        <f>Fluxo_de_Caixa_Janeiro3[[#This Row],[Fevereiro]]</f>
        <v>0</v>
      </c>
      <c r="E108" s="62">
        <f>Fluxo_de_Caixa_Janeiro34[[#This Row],[Março]]</f>
        <v>6500</v>
      </c>
      <c r="F108" s="62"/>
      <c r="G108" s="62"/>
      <c r="H108" s="62"/>
      <c r="I108" s="35"/>
      <c r="J108" s="62"/>
      <c r="K108" s="62"/>
      <c r="L108" s="62"/>
      <c r="M108" s="62"/>
      <c r="N108" s="119"/>
      <c r="O108" s="224">
        <f>SUM(Fluxo_de_Caixa_Janeiro31020[[#This Row],[Janeiro]:[Dezembro]])</f>
        <v>8036</v>
      </c>
      <c r="P108" s="194">
        <f t="shared" si="7"/>
        <v>2.794185747308438E-3</v>
      </c>
      <c r="Q108" s="317">
        <v>4.9062389124111241E-4</v>
      </c>
      <c r="R108" s="32" t="str">
        <f>IF(Fluxo_de_Caixa_Janeiro31020[[#This Row],[% ACUMULADO  1º Trimes 2026]]&lt;=Fluxo_de_Caixa_Janeiro31020[[#This Row],[% ACUMULADO  1º Trimes 2025]],"VERDADEIRO","FALSO")</f>
        <v>FALSO</v>
      </c>
      <c r="V108" s="516">
        <v>1320</v>
      </c>
      <c r="W108" s="590">
        <v>4.9062389124111241E-4</v>
      </c>
    </row>
    <row r="109" spans="1:23" x14ac:dyDescent="0.25">
      <c r="B109" s="55" t="str">
        <f>Fluxo_de_Caixa_Janeiro[[#This Row],[Fluxo de Caixa 2026 CTR]]</f>
        <v>3.2.09. Ajuda de Custo Faculdade/Pós Graduação</v>
      </c>
      <c r="C109" s="35">
        <f>Fluxo_de_Caixa_Janeiro[[#This Row],[Janeiro]]</f>
        <v>0</v>
      </c>
      <c r="D109" s="62">
        <f>Fluxo_de_Caixa_Janeiro3[[#This Row],[Fevereiro]]</f>
        <v>0</v>
      </c>
      <c r="E109" s="62">
        <f>Fluxo_de_Caixa_Janeiro34[[#This Row],[Março]]</f>
        <v>0</v>
      </c>
      <c r="F109" s="62"/>
      <c r="G109" s="62"/>
      <c r="H109" s="62"/>
      <c r="I109" s="35"/>
      <c r="J109" s="62"/>
      <c r="K109" s="62"/>
      <c r="L109" s="62"/>
      <c r="M109" s="62"/>
      <c r="N109" s="119"/>
      <c r="O109" s="224">
        <f>SUM(Fluxo_de_Caixa_Janeiro31020[[#This Row],[Janeiro]:[Dezembro]])</f>
        <v>0</v>
      </c>
      <c r="P109" s="194">
        <f t="shared" si="7"/>
        <v>0</v>
      </c>
      <c r="Q109" s="317">
        <v>0</v>
      </c>
      <c r="R109" s="32" t="str">
        <f>IF(Fluxo_de_Caixa_Janeiro31020[[#This Row],[% ACUMULADO  1º Trimes 2026]]&lt;=Fluxo_de_Caixa_Janeiro31020[[#This Row],[% ACUMULADO  1º Trimes 2025]],"VERDADEIRO","FALSO")</f>
        <v>VERDADEIRO</v>
      </c>
      <c r="V109" s="516">
        <v>0</v>
      </c>
      <c r="W109" s="590">
        <v>0</v>
      </c>
    </row>
    <row r="110" spans="1:23" x14ac:dyDescent="0.25">
      <c r="B110" s="55" t="str">
        <f>Fluxo_de_Caixa_Janeiro[[#This Row],[Fluxo de Caixa 2026 CTR]]</f>
        <v>3.2.10. Férias</v>
      </c>
      <c r="C110" s="35">
        <f>Fluxo_de_Caixa_Janeiro[[#This Row],[Janeiro]]</f>
        <v>0</v>
      </c>
      <c r="D110" s="62">
        <f>Fluxo_de_Caixa_Janeiro3[[#This Row],[Fevereiro]]</f>
        <v>0</v>
      </c>
      <c r="E110" s="62">
        <f>Fluxo_de_Caixa_Janeiro34[[#This Row],[Março]]</f>
        <v>0</v>
      </c>
      <c r="F110" s="62"/>
      <c r="G110" s="62"/>
      <c r="H110" s="62"/>
      <c r="I110" s="35"/>
      <c r="J110" s="62"/>
      <c r="K110" s="62"/>
      <c r="L110" s="62"/>
      <c r="M110" s="62"/>
      <c r="N110" s="119"/>
      <c r="O110" s="224">
        <f>SUM(Fluxo_de_Caixa_Janeiro31020[[#This Row],[Janeiro]:[Dezembro]])</f>
        <v>0</v>
      </c>
      <c r="P110" s="194">
        <f t="shared" si="7"/>
        <v>0</v>
      </c>
      <c r="Q110" s="317">
        <v>4.8445764097165031E-4</v>
      </c>
      <c r="R110" s="32" t="str">
        <f>IF(Fluxo_de_Caixa_Janeiro31020[[#This Row],[% ACUMULADO  1º Trimes 2026]]&lt;=Fluxo_de_Caixa_Janeiro31020[[#This Row],[% ACUMULADO  1º Trimes 2025]],"VERDADEIRO","FALSO")</f>
        <v>VERDADEIRO</v>
      </c>
      <c r="V110" s="516">
        <v>1303.4100000000001</v>
      </c>
      <c r="W110" s="590">
        <v>4.8445764097165031E-4</v>
      </c>
    </row>
    <row r="111" spans="1:23" x14ac:dyDescent="0.25">
      <c r="B111" s="55" t="str">
        <f>Fluxo_de_Caixa_Janeiro[[#This Row],[Fluxo de Caixa 2026 CTR]]</f>
        <v>3.2.11. Auxilio Saúde e Odontológico</v>
      </c>
      <c r="C111" s="35">
        <f>Fluxo_de_Caixa_Janeiro[[#This Row],[Janeiro]]</f>
        <v>2500</v>
      </c>
      <c r="D111" s="62">
        <f>Fluxo_de_Caixa_Janeiro3[[#This Row],[Fevereiro]]</f>
        <v>0</v>
      </c>
      <c r="E111" s="62">
        <f>Fluxo_de_Caixa_Janeiro34[[#This Row],[Março]]</f>
        <v>0</v>
      </c>
      <c r="F111" s="62"/>
      <c r="G111" s="62"/>
      <c r="H111" s="62"/>
      <c r="I111" s="35"/>
      <c r="J111" s="62"/>
      <c r="K111" s="62"/>
      <c r="L111" s="62"/>
      <c r="M111" s="62"/>
      <c r="N111" s="119"/>
      <c r="O111" s="224">
        <f>SUM(Fluxo_de_Caixa_Janeiro31020[[#This Row],[Janeiro]:[Dezembro]])</f>
        <v>2500</v>
      </c>
      <c r="P111" s="194">
        <f t="shared" si="7"/>
        <v>8.6927132507106709E-4</v>
      </c>
      <c r="Q111" s="317">
        <v>1.9411608593907835E-3</v>
      </c>
      <c r="R111" s="32" t="str">
        <f>IF(Fluxo_de_Caixa_Janeiro31020[[#This Row],[% ACUMULADO  1º Trimes 2026]]&lt;=Fluxo_de_Caixa_Janeiro31020[[#This Row],[% ACUMULADO  1º Trimes 2025]],"VERDADEIRO","FALSO")</f>
        <v>VERDADEIRO</v>
      </c>
      <c r="V111" s="516">
        <v>5222.6000000000004</v>
      </c>
      <c r="W111" s="590">
        <v>1.9411608593907835E-3</v>
      </c>
    </row>
    <row r="112" spans="1:23" x14ac:dyDescent="0.25">
      <c r="B112" s="55" t="str">
        <f>Fluxo_de_Caixa_Janeiro[[#This Row],[Fluxo de Caixa 2026 CTR]]</f>
        <v>3.2.12. Vale Transporte</v>
      </c>
      <c r="C112" s="35">
        <f>Fluxo_de_Caixa_Janeiro[[#This Row],[Janeiro]]</f>
        <v>350</v>
      </c>
      <c r="D112" s="62">
        <f>Fluxo_de_Caixa_Janeiro3[[#This Row],[Fevereiro]]</f>
        <v>400</v>
      </c>
      <c r="E112" s="62">
        <f>Fluxo_de_Caixa_Janeiro34[[#This Row],[Março]]</f>
        <v>400</v>
      </c>
      <c r="F112" s="62"/>
      <c r="G112" s="62"/>
      <c r="H112" s="62"/>
      <c r="I112" s="35"/>
      <c r="J112" s="62"/>
      <c r="K112" s="62"/>
      <c r="L112" s="62"/>
      <c r="M112" s="62"/>
      <c r="N112" s="119"/>
      <c r="O112" s="224">
        <f>SUM(Fluxo_de_Caixa_Janeiro31020[[#This Row],[Janeiro]:[Dezembro]])</f>
        <v>1150</v>
      </c>
      <c r="P112" s="194">
        <f t="shared" si="7"/>
        <v>3.9986480953269087E-4</v>
      </c>
      <c r="Q112" s="317">
        <v>0</v>
      </c>
      <c r="R112" s="32" t="str">
        <f>IF(Fluxo_de_Caixa_Janeiro31020[[#This Row],[% ACUMULADO  1º Trimes 2026]]&lt;=Fluxo_de_Caixa_Janeiro31020[[#This Row],[% ACUMULADO  1º Trimes 2025]],"VERDADEIRO","FALSO")</f>
        <v>FALSO</v>
      </c>
      <c r="V112" s="516">
        <v>0</v>
      </c>
      <c r="W112" s="590">
        <v>0</v>
      </c>
    </row>
    <row r="113" spans="2:23" x14ac:dyDescent="0.25">
      <c r="B113" s="55" t="str">
        <f>Fluxo_de_Caixa_Janeiro[[#This Row],[Fluxo de Caixa 2026 CTR]]</f>
        <v>3.2.13. FGTS</v>
      </c>
      <c r="C113" s="35">
        <f>Fluxo_de_Caixa_Janeiro[[#This Row],[Janeiro]]</f>
        <v>2161</v>
      </c>
      <c r="D113" s="62">
        <f>Fluxo_de_Caixa_Janeiro3[[#This Row],[Fevereiro]]</f>
        <v>4123.54</v>
      </c>
      <c r="E113" s="62">
        <f>Fluxo_de_Caixa_Janeiro34[[#This Row],[Março]]</f>
        <v>3924.18</v>
      </c>
      <c r="F113" s="62"/>
      <c r="G113" s="62"/>
      <c r="H113" s="62"/>
      <c r="I113" s="35"/>
      <c r="J113" s="62"/>
      <c r="K113" s="62"/>
      <c r="L113" s="62"/>
      <c r="M113" s="62"/>
      <c r="N113" s="119"/>
      <c r="O113" s="224">
        <f>SUM(Fluxo_de_Caixa_Janeiro31020[[#This Row],[Janeiro]:[Dezembro]])</f>
        <v>10208.719999999999</v>
      </c>
      <c r="P113" s="194">
        <f t="shared" si="7"/>
        <v>3.5496590246718012E-3</v>
      </c>
      <c r="Q113" s="317">
        <v>3.3303512568970102E-3</v>
      </c>
      <c r="R113" s="32" t="str">
        <f>IF(Fluxo_de_Caixa_Janeiro31020[[#This Row],[% ACUMULADO  1º Trimes 2026]]&lt;=Fluxo_de_Caixa_Janeiro31020[[#This Row],[% ACUMULADO  1º Trimes 2025]],"VERDADEIRO","FALSO")</f>
        <v>FALSO</v>
      </c>
      <c r="V113" s="516">
        <v>8960.15</v>
      </c>
      <c r="W113" s="590">
        <v>3.3303512568970102E-3</v>
      </c>
    </row>
    <row r="114" spans="2:23" x14ac:dyDescent="0.25">
      <c r="B114" s="169" t="str">
        <f>Fluxo_de_Caixa_Janeiro[[#This Row],[Fluxo de Caixa 2026 CTR]]</f>
        <v xml:space="preserve">3.2.14. INSS/GPS </v>
      </c>
      <c r="C114" s="41">
        <f>Fluxo_de_Caixa_Janeiro[[#This Row],[Janeiro]]</f>
        <v>11529.3</v>
      </c>
      <c r="D114" s="81">
        <f>Fluxo_de_Caixa_Janeiro3[[#This Row],[Fevereiro]]</f>
        <v>11912.77</v>
      </c>
      <c r="E114" s="81">
        <f>Fluxo_de_Caixa_Janeiro34[[#This Row],[Março]]</f>
        <v>11292.06</v>
      </c>
      <c r="F114" s="81"/>
      <c r="G114" s="81"/>
      <c r="H114" s="81"/>
      <c r="I114" s="41"/>
      <c r="J114" s="81"/>
      <c r="K114" s="81"/>
      <c r="L114" s="81"/>
      <c r="M114" s="81"/>
      <c r="N114" s="118"/>
      <c r="O114" s="223">
        <f>SUM(Fluxo_de_Caixa_Janeiro31020[[#This Row],[Janeiro]:[Dezembro]])</f>
        <v>34734.129999999997</v>
      </c>
      <c r="P114" s="193">
        <f t="shared" si="7"/>
        <v>1.207735328411628E-2</v>
      </c>
      <c r="Q114" s="547">
        <v>1.8899932477515285E-2</v>
      </c>
      <c r="R114" s="32" t="str">
        <f>IF(Fluxo_de_Caixa_Janeiro31020[[#This Row],[% ACUMULADO  1º Trimes 2026]]&lt;=Fluxo_de_Caixa_Janeiro31020[[#This Row],[% ACUMULADO  1º Trimes 2025]],"VERDADEIRO","FALSO")</f>
        <v>VERDADEIRO</v>
      </c>
      <c r="V114" s="515">
        <v>50849.36</v>
      </c>
      <c r="W114" s="589">
        <v>1.8899932477515285E-2</v>
      </c>
    </row>
    <row r="115" spans="2:23" x14ac:dyDescent="0.25">
      <c r="B115" s="55" t="str">
        <f>Fluxo_de_Caixa_Janeiro[[#This Row],[Fluxo de Caixa 2026 CTR]]</f>
        <v>3.2.15. Contribuição Sindical</v>
      </c>
      <c r="C115" s="35">
        <f>Fluxo_de_Caixa_Janeiro[[#This Row],[Janeiro]]</f>
        <v>88</v>
      </c>
      <c r="D115" s="62">
        <f>Fluxo_de_Caixa_Janeiro3[[#This Row],[Fevereiro]]</f>
        <v>220</v>
      </c>
      <c r="E115" s="62">
        <f>Fluxo_de_Caixa_Janeiro34[[#This Row],[Março]]</f>
        <v>220</v>
      </c>
      <c r="F115" s="62"/>
      <c r="G115" s="62"/>
      <c r="H115" s="62"/>
      <c r="I115" s="35"/>
      <c r="J115" s="62"/>
      <c r="K115" s="62"/>
      <c r="L115" s="62"/>
      <c r="M115" s="62"/>
      <c r="N115" s="119"/>
      <c r="O115" s="224">
        <f>SUM(Fluxo_de_Caixa_Janeiro31020[[#This Row],[Janeiro]:[Dezembro]])</f>
        <v>528</v>
      </c>
      <c r="P115" s="194">
        <f t="shared" si="7"/>
        <v>1.8359010385500936E-4</v>
      </c>
      <c r="Q115" s="317">
        <v>2.2078075105850061E-4</v>
      </c>
      <c r="R115" s="32" t="str">
        <f>IF(Fluxo_de_Caixa_Janeiro31020[[#This Row],[% ACUMULADO  1º Trimes 2026]]&lt;=Fluxo_de_Caixa_Janeiro31020[[#This Row],[% ACUMULADO  1º Trimes 2025]],"VERDADEIRO","FALSO")</f>
        <v>VERDADEIRO</v>
      </c>
      <c r="V115" s="516">
        <v>594</v>
      </c>
      <c r="W115" s="590">
        <v>2.2078075105850061E-4</v>
      </c>
    </row>
    <row r="116" spans="2:23" x14ac:dyDescent="0.25">
      <c r="B116" s="55" t="str">
        <f>Fluxo_de_Caixa_Janeiro[[#This Row],[Fluxo de Caixa 2026 CTR]]</f>
        <v xml:space="preserve">3.2.16. Rescisão Trabalhista </v>
      </c>
      <c r="C116" s="35">
        <f>Fluxo_de_Caixa_Janeiro[[#This Row],[Janeiro]]</f>
        <v>0</v>
      </c>
      <c r="D116" s="62">
        <f>Fluxo_de_Caixa_Janeiro3[[#This Row],[Fevereiro]]</f>
        <v>0</v>
      </c>
      <c r="E116" s="62">
        <f>Fluxo_de_Caixa_Janeiro34[[#This Row],[Março]]</f>
        <v>22337.95</v>
      </c>
      <c r="F116" s="62"/>
      <c r="G116" s="62"/>
      <c r="H116" s="62"/>
      <c r="I116" s="35"/>
      <c r="J116" s="62"/>
      <c r="K116" s="62"/>
      <c r="L116" s="62"/>
      <c r="M116" s="62"/>
      <c r="N116" s="119"/>
      <c r="O116" s="224">
        <f>SUM(Fluxo_de_Caixa_Janeiro31020[[#This Row],[Janeiro]:[Dezembro]])</f>
        <v>22337.95</v>
      </c>
      <c r="P116" s="194">
        <f t="shared" si="7"/>
        <v>7.7670957583484976E-3</v>
      </c>
      <c r="Q116" s="317">
        <v>1.5350075348307467E-2</v>
      </c>
      <c r="R116" s="32" t="str">
        <f>IF(Fluxo_de_Caixa_Janeiro31020[[#This Row],[% ACUMULADO  1º Trimes 2026]]&lt;=Fluxo_de_Caixa_Janeiro31020[[#This Row],[% ACUMULADO  1º Trimes 2025]],"VERDADEIRO","FALSO")</f>
        <v>VERDADEIRO</v>
      </c>
      <c r="V116" s="516">
        <v>41298.639999999999</v>
      </c>
      <c r="W116" s="590">
        <v>1.5350075348307467E-2</v>
      </c>
    </row>
    <row r="117" spans="2:23" x14ac:dyDescent="0.25">
      <c r="B117" s="55" t="str">
        <f>Fluxo_de_Caixa_Janeiro[[#This Row],[Fluxo de Caixa 2026 CTR]]</f>
        <v xml:space="preserve">3.2.17. Seleção e Contratação </v>
      </c>
      <c r="C117" s="35">
        <f>Fluxo_de_Caixa_Janeiro[[#This Row],[Janeiro]]</f>
        <v>0</v>
      </c>
      <c r="D117" s="62">
        <f>Fluxo_de_Caixa_Janeiro3[[#This Row],[Fevereiro]]</f>
        <v>2070</v>
      </c>
      <c r="E117" s="62">
        <f>Fluxo_de_Caixa_Janeiro34[[#This Row],[Março]]</f>
        <v>920</v>
      </c>
      <c r="F117" s="62"/>
      <c r="G117" s="62"/>
      <c r="H117" s="62"/>
      <c r="I117" s="35"/>
      <c r="J117" s="62"/>
      <c r="K117" s="62"/>
      <c r="L117" s="62"/>
      <c r="M117" s="62"/>
      <c r="N117" s="119"/>
      <c r="O117" s="224">
        <f>SUM(Fluxo_de_Caixa_Janeiro31020[[#This Row],[Janeiro]:[Dezembro]])</f>
        <v>2990</v>
      </c>
      <c r="P117" s="194">
        <f t="shared" si="7"/>
        <v>1.0396485047849961E-3</v>
      </c>
      <c r="Q117" s="317">
        <v>0</v>
      </c>
      <c r="R117" s="32" t="str">
        <f>IF(Fluxo_de_Caixa_Janeiro31020[[#This Row],[% ACUMULADO  1º Trimes 2026]]&lt;=Fluxo_de_Caixa_Janeiro31020[[#This Row],[% ACUMULADO  1º Trimes 2025]],"VERDADEIRO","FALSO")</f>
        <v>FALSO</v>
      </c>
      <c r="V117" s="516">
        <v>0</v>
      </c>
      <c r="W117" s="590">
        <v>0</v>
      </c>
    </row>
    <row r="118" spans="2:23" x14ac:dyDescent="0.25">
      <c r="B118" s="55" t="str">
        <f>Fluxo_de_Caixa_Janeiro[[#This Row],[Fluxo de Caixa 2026 CTR]]</f>
        <v>3.2.18. ASO</v>
      </c>
      <c r="C118" s="35">
        <f>Fluxo_de_Caixa_Janeiro[[#This Row],[Janeiro]]</f>
        <v>0</v>
      </c>
      <c r="D118" s="62">
        <f>Fluxo_de_Caixa_Janeiro3[[#This Row],[Fevereiro]]</f>
        <v>245</v>
      </c>
      <c r="E118" s="62">
        <f>Fluxo_de_Caixa_Janeiro34[[#This Row],[Março]]</f>
        <v>290</v>
      </c>
      <c r="F118" s="62"/>
      <c r="G118" s="62"/>
      <c r="H118" s="62"/>
      <c r="I118" s="35"/>
      <c r="J118" s="62"/>
      <c r="K118" s="62"/>
      <c r="L118" s="62"/>
      <c r="M118" s="62"/>
      <c r="N118" s="119"/>
      <c r="O118" s="224">
        <f>SUM(Fluxo_de_Caixa_Janeiro31020[[#This Row],[Janeiro]:[Dezembro]])</f>
        <v>535</v>
      </c>
      <c r="P118" s="194">
        <f t="shared" si="7"/>
        <v>1.8602406356520835E-4</v>
      </c>
      <c r="Q118" s="317">
        <v>1.3380651579303067E-4</v>
      </c>
      <c r="R118" s="32" t="str">
        <f>IF(Fluxo_de_Caixa_Janeiro31020[[#This Row],[% ACUMULADO  1º Trimes 2026]]&lt;=Fluxo_de_Caixa_Janeiro31020[[#This Row],[% ACUMULADO  1º Trimes 2025]],"VERDADEIRO","FALSO")</f>
        <v>FALSO</v>
      </c>
      <c r="V118" s="516">
        <v>360</v>
      </c>
      <c r="W118" s="590">
        <v>1.3380651579303067E-4</v>
      </c>
    </row>
    <row r="119" spans="2:23" x14ac:dyDescent="0.25">
      <c r="B119" s="55" t="str">
        <f>Fluxo_de_Caixa_Janeiro[[#This Row],[Fluxo de Caixa 2026 CTR]]</f>
        <v>3.2.19. IRRF S/ Salário</v>
      </c>
      <c r="C119" s="35">
        <f>Fluxo_de_Caixa_Janeiro[[#This Row],[Janeiro]]</f>
        <v>0</v>
      </c>
      <c r="D119" s="62">
        <f>Fluxo_de_Caixa_Janeiro3[[#This Row],[Fevereiro]]</f>
        <v>0</v>
      </c>
      <c r="E119" s="62">
        <f>Fluxo_de_Caixa_Janeiro34[[#This Row],[Março]]</f>
        <v>0</v>
      </c>
      <c r="F119" s="62"/>
      <c r="G119" s="62"/>
      <c r="H119" s="62"/>
      <c r="I119" s="35"/>
      <c r="J119" s="62"/>
      <c r="K119" s="62"/>
      <c r="L119" s="62"/>
      <c r="M119" s="62"/>
      <c r="N119" s="119"/>
      <c r="O119" s="224">
        <f>SUM(Fluxo_de_Caixa_Janeiro31020[[#This Row],[Janeiro]:[Dezembro]])</f>
        <v>0</v>
      </c>
      <c r="P119" s="194">
        <f t="shared" si="7"/>
        <v>0</v>
      </c>
      <c r="Q119" s="317">
        <v>0</v>
      </c>
      <c r="R119" s="32" t="str">
        <f>IF(Fluxo_de_Caixa_Janeiro31020[[#This Row],[% ACUMULADO  1º Trimes 2026]]&lt;=Fluxo_de_Caixa_Janeiro31020[[#This Row],[% ACUMULADO  1º Trimes 2025]],"VERDADEIRO","FALSO")</f>
        <v>VERDADEIRO</v>
      </c>
      <c r="V119" s="516">
        <v>0</v>
      </c>
      <c r="W119" s="590">
        <v>0</v>
      </c>
    </row>
    <row r="120" spans="2:23" x14ac:dyDescent="0.25">
      <c r="B120" s="55" t="str">
        <f>Fluxo_de_Caixa_Janeiro[[#This Row],[Fluxo de Caixa 2026 CTR]]</f>
        <v>3.2.20. Despesa com Terceirizado</v>
      </c>
      <c r="C120" s="35">
        <f>Fluxo_de_Caixa_Janeiro[[#This Row],[Janeiro]]</f>
        <v>9469</v>
      </c>
      <c r="D120" s="62">
        <f>Fluxo_de_Caixa_Janeiro3[[#This Row],[Fevereiro]]</f>
        <v>9695.5</v>
      </c>
      <c r="E120" s="62">
        <f>Fluxo_de_Caixa_Janeiro34[[#This Row],[Março]]</f>
        <v>11195.5</v>
      </c>
      <c r="F120" s="62"/>
      <c r="G120" s="62"/>
      <c r="H120" s="62"/>
      <c r="I120" s="35"/>
      <c r="J120" s="62"/>
      <c r="K120" s="62"/>
      <c r="L120" s="62"/>
      <c r="M120" s="62"/>
      <c r="N120" s="119"/>
      <c r="O120" s="224">
        <f>SUM(Fluxo_de_Caixa_Janeiro31020[[#This Row],[Janeiro]:[Dezembro]])</f>
        <v>30360</v>
      </c>
      <c r="P120" s="194">
        <f t="shared" si="7"/>
        <v>1.0556430971663039E-2</v>
      </c>
      <c r="Q120" s="317">
        <v>4.4791285139997713E-3</v>
      </c>
      <c r="R120" s="32" t="str">
        <f>IF(Fluxo_de_Caixa_Janeiro31020[[#This Row],[% ACUMULADO  1º Trimes 2026]]&lt;=Fluxo_de_Caixa_Janeiro31020[[#This Row],[% ACUMULADO  1º Trimes 2025]],"VERDADEIRO","FALSO")</f>
        <v>FALSO</v>
      </c>
      <c r="V120" s="516">
        <v>12050.880000000001</v>
      </c>
      <c r="W120" s="590">
        <v>4.4791285139997713E-3</v>
      </c>
    </row>
    <row r="121" spans="2:23" x14ac:dyDescent="0.25">
      <c r="B121" s="55" t="str">
        <f>Fluxo_de_Caixa_Janeiro[[#This Row],[Fluxo de Caixa 2026 CTR]]</f>
        <v>3.2.21. Uniformes e EPI</v>
      </c>
      <c r="C121" s="35">
        <f>Fluxo_de_Caixa_Janeiro[[#This Row],[Janeiro]]</f>
        <v>0</v>
      </c>
      <c r="D121" s="62">
        <f>Fluxo_de_Caixa_Janeiro3[[#This Row],[Fevereiro]]</f>
        <v>0</v>
      </c>
      <c r="E121" s="62">
        <f>Fluxo_de_Caixa_Janeiro34[[#This Row],[Março]]</f>
        <v>1118</v>
      </c>
      <c r="F121" s="62"/>
      <c r="G121" s="62"/>
      <c r="H121" s="62"/>
      <c r="I121" s="35"/>
      <c r="J121" s="62"/>
      <c r="K121" s="62"/>
      <c r="L121" s="62"/>
      <c r="M121" s="62"/>
      <c r="N121" s="119"/>
      <c r="O121" s="224">
        <f>SUM(Fluxo_de_Caixa_Janeiro31020[[#This Row],[Janeiro]:[Dezembro]])</f>
        <v>1118</v>
      </c>
      <c r="P121" s="194">
        <f t="shared" si="7"/>
        <v>3.8873813657178119E-4</v>
      </c>
      <c r="Q121" s="317">
        <v>1.385640807990051E-3</v>
      </c>
      <c r="R121" s="32" t="str">
        <f>IF(Fluxo_de_Caixa_Janeiro31020[[#This Row],[% ACUMULADO  1º Trimes 2026]]&lt;=Fluxo_de_Caixa_Janeiro31020[[#This Row],[% ACUMULADO  1º Trimes 2025]],"VERDADEIRO","FALSO")</f>
        <v>VERDADEIRO</v>
      </c>
      <c r="V121" s="516">
        <v>3728</v>
      </c>
      <c r="W121" s="590">
        <v>1.385640807990051E-3</v>
      </c>
    </row>
    <row r="122" spans="2:23" x14ac:dyDescent="0.25">
      <c r="B122" s="55" t="str">
        <f>Fluxo_de_Caixa_Janeiro[[#This Row],[Fluxo de Caixa 2026 CTR]]</f>
        <v>3.2.22. Adiantamento de 13º Salário</v>
      </c>
      <c r="C122" s="35">
        <f>Fluxo_de_Caixa_Janeiro[[#This Row],[Janeiro]]</f>
        <v>0</v>
      </c>
      <c r="D122" s="62">
        <f>Fluxo_de_Caixa_Janeiro3[[#This Row],[Fevereiro]]</f>
        <v>0</v>
      </c>
      <c r="E122" s="62">
        <f>Fluxo_de_Caixa_Janeiro34[[#This Row],[Março]]</f>
        <v>0</v>
      </c>
      <c r="F122" s="62"/>
      <c r="G122" s="62"/>
      <c r="H122" s="62"/>
      <c r="I122" s="35"/>
      <c r="J122" s="62"/>
      <c r="K122" s="62"/>
      <c r="L122" s="62"/>
      <c r="M122" s="62"/>
      <c r="N122" s="119"/>
      <c r="O122" s="224">
        <f>SUM(Fluxo_de_Caixa_Janeiro31020[[#This Row],[Janeiro]:[Dezembro]])</f>
        <v>0</v>
      </c>
      <c r="P122" s="194">
        <f t="shared" si="7"/>
        <v>0</v>
      </c>
      <c r="Q122" s="317">
        <v>0</v>
      </c>
      <c r="R122" s="32" t="str">
        <f>IF(Fluxo_de_Caixa_Janeiro31020[[#This Row],[% ACUMULADO  1º Trimes 2026]]&lt;=Fluxo_de_Caixa_Janeiro31020[[#This Row],[% ACUMULADO  1º Trimes 2025]],"VERDADEIRO","FALSO")</f>
        <v>VERDADEIRO</v>
      </c>
      <c r="V122" s="516">
        <v>0</v>
      </c>
      <c r="W122" s="590">
        <v>0</v>
      </c>
    </row>
    <row r="123" spans="2:23" ht="15.75" thickBot="1" x14ac:dyDescent="0.3">
      <c r="B123" s="55" t="str">
        <f>Fluxo_de_Caixa_Janeiro[[#This Row],[Fluxo de Caixa 2026 CTR]]</f>
        <v>3.2.23. Decimo Terceiro Integral</v>
      </c>
      <c r="C123" s="35">
        <f>Fluxo_de_Caixa_Janeiro[[#This Row],[Janeiro]]</f>
        <v>0</v>
      </c>
      <c r="D123" s="62">
        <f>Fluxo_de_Caixa_Janeiro3[[#This Row],[Fevereiro]]</f>
        <v>0</v>
      </c>
      <c r="E123" s="62">
        <f>Fluxo_de_Caixa_Janeiro34[[#This Row],[Março]]</f>
        <v>754.91</v>
      </c>
      <c r="F123" s="62"/>
      <c r="G123" s="62"/>
      <c r="H123" s="62"/>
      <c r="I123" s="35"/>
      <c r="J123" s="62"/>
      <c r="K123" s="62"/>
      <c r="L123" s="62"/>
      <c r="M123" s="62"/>
      <c r="N123" s="119"/>
      <c r="O123" s="224">
        <f>SUM(Fluxo_de_Caixa_Janeiro31020[[#This Row],[Janeiro]:[Dezembro]])</f>
        <v>754.91</v>
      </c>
      <c r="P123" s="194">
        <f t="shared" si="7"/>
        <v>2.6248864640375969E-4</v>
      </c>
      <c r="Q123" s="317">
        <v>0</v>
      </c>
      <c r="R123" s="32" t="str">
        <f>IF(Fluxo_de_Caixa_Janeiro31020[[#This Row],[% ACUMULADO  1º Trimes 2026]]&lt;=Fluxo_de_Caixa_Janeiro31020[[#This Row],[% ACUMULADO  1º Trimes 2025]],"VERDADEIRO","FALSO")</f>
        <v>FALSO</v>
      </c>
      <c r="V123" s="516">
        <v>0</v>
      </c>
      <c r="W123" s="590">
        <v>0</v>
      </c>
    </row>
    <row r="124" spans="2:23" hidden="1" x14ac:dyDescent="0.25">
      <c r="B124" s="378">
        <f>Fluxo_de_Caixa_Janeiro[[#This Row],[Fluxo de Caixa 2026 CTR]]</f>
        <v>0</v>
      </c>
      <c r="C124" s="357">
        <f>Fluxo_de_Caixa_Janeiro[[#This Row],[Janeiro]]</f>
        <v>0</v>
      </c>
      <c r="D124" s="306">
        <f>Fluxo_de_Caixa_Janeiro3[[#This Row],[Fevereiro]]</f>
        <v>0</v>
      </c>
      <c r="E124" s="306">
        <f>Fluxo_de_Caixa_Janeiro34[[#This Row],[Março]]</f>
        <v>0</v>
      </c>
      <c r="F124" s="306"/>
      <c r="G124" s="306"/>
      <c r="H124" s="306"/>
      <c r="I124" s="357"/>
      <c r="J124" s="306"/>
      <c r="K124" s="306"/>
      <c r="L124" s="306"/>
      <c r="M124" s="306"/>
      <c r="N124" s="360"/>
      <c r="O124" s="396">
        <f>SUM(Fluxo_de_Caixa_Janeiro31020[[#This Row],[Janeiro]:[Dezembro]])</f>
        <v>0</v>
      </c>
      <c r="P124" s="194">
        <f t="shared" si="7"/>
        <v>0</v>
      </c>
      <c r="Q124" s="317">
        <v>0</v>
      </c>
      <c r="R124" s="32"/>
      <c r="V124" s="519">
        <v>0</v>
      </c>
      <c r="W124" s="590">
        <v>0</v>
      </c>
    </row>
    <row r="125" spans="2:23" hidden="1" x14ac:dyDescent="0.25">
      <c r="B125" s="385">
        <f>Fluxo_de_Caixa_Janeiro[[#This Row],[Fluxo de Caixa 2026 CTR]]</f>
        <v>0</v>
      </c>
      <c r="C125" s="357">
        <f>Fluxo_de_Caixa_Janeiro[[#This Row],[Janeiro]]</f>
        <v>0</v>
      </c>
      <c r="D125" s="306">
        <f>Fluxo_de_Caixa_Janeiro3[[#This Row],[Fevereiro]]</f>
        <v>0</v>
      </c>
      <c r="E125" s="306">
        <f>Fluxo_de_Caixa_Janeiro34[[#This Row],[Março]]</f>
        <v>0</v>
      </c>
      <c r="F125" s="306"/>
      <c r="G125" s="306"/>
      <c r="H125" s="306"/>
      <c r="I125" s="357"/>
      <c r="J125" s="306"/>
      <c r="K125" s="306"/>
      <c r="L125" s="306"/>
      <c r="M125" s="306"/>
      <c r="N125" s="360"/>
      <c r="O125" s="396">
        <f>SUM(Fluxo_de_Caixa_Janeiro31020[[#This Row],[Janeiro]:[Dezembro]])</f>
        <v>0</v>
      </c>
      <c r="P125" s="194">
        <f t="shared" si="7"/>
        <v>0</v>
      </c>
      <c r="Q125" s="317">
        <v>0</v>
      </c>
      <c r="R125" s="32"/>
      <c r="V125" s="519">
        <v>0</v>
      </c>
      <c r="W125" s="590">
        <v>0</v>
      </c>
    </row>
    <row r="126" spans="2:23" hidden="1" x14ac:dyDescent="0.25">
      <c r="B126" s="378">
        <f>Fluxo_de_Caixa_Janeiro[[#This Row],[Fluxo de Caixa 2026 CTR]]</f>
        <v>0</v>
      </c>
      <c r="C126" s="358">
        <f>Fluxo_de_Caixa_Janeiro[[#This Row],[Janeiro]]</f>
        <v>0</v>
      </c>
      <c r="D126" s="359">
        <f>Fluxo_de_Caixa_Janeiro3[[#This Row],[Fevereiro]]</f>
        <v>0</v>
      </c>
      <c r="E126" s="359">
        <f>Fluxo_de_Caixa_Janeiro34[[#This Row],[Março]]</f>
        <v>0</v>
      </c>
      <c r="F126" s="359"/>
      <c r="G126" s="359"/>
      <c r="H126" s="359"/>
      <c r="I126" s="358"/>
      <c r="J126" s="359"/>
      <c r="K126" s="359"/>
      <c r="L126" s="359"/>
      <c r="M126" s="359"/>
      <c r="N126" s="361"/>
      <c r="O126" s="396">
        <f>SUM(Fluxo_de_Caixa_Janeiro31020[[#This Row],[Janeiro]:[Dezembro]])</f>
        <v>0</v>
      </c>
      <c r="P126" s="194">
        <f t="shared" si="7"/>
        <v>0</v>
      </c>
      <c r="Q126" s="317">
        <v>0</v>
      </c>
      <c r="R126" s="32"/>
      <c r="V126" s="519">
        <v>0</v>
      </c>
      <c r="W126" s="590">
        <v>0</v>
      </c>
    </row>
    <row r="127" spans="2:23" hidden="1" x14ac:dyDescent="0.25">
      <c r="B127" s="385">
        <f>Fluxo_de_Caixa_Janeiro[[#This Row],[Fluxo de Caixa 2026 CTR]]</f>
        <v>0</v>
      </c>
      <c r="C127" s="358">
        <f>Fluxo_de_Caixa_Janeiro[[#This Row],[Janeiro]]</f>
        <v>0</v>
      </c>
      <c r="D127" s="359">
        <f>Fluxo_de_Caixa_Janeiro3[[#This Row],[Fevereiro]]</f>
        <v>0</v>
      </c>
      <c r="E127" s="359">
        <f>Fluxo_de_Caixa_Janeiro34[[#This Row],[Março]]</f>
        <v>0</v>
      </c>
      <c r="F127" s="359"/>
      <c r="G127" s="359"/>
      <c r="H127" s="359"/>
      <c r="I127" s="358"/>
      <c r="J127" s="359"/>
      <c r="K127" s="359"/>
      <c r="L127" s="359"/>
      <c r="M127" s="359"/>
      <c r="N127" s="361"/>
      <c r="O127" s="396">
        <f>SUM(Fluxo_de_Caixa_Janeiro31020[[#This Row],[Janeiro]:[Dezembro]])</f>
        <v>0</v>
      </c>
      <c r="P127" s="194">
        <f t="shared" si="7"/>
        <v>0</v>
      </c>
      <c r="Q127" s="317">
        <v>0</v>
      </c>
      <c r="R127" s="32"/>
      <c r="V127" s="519">
        <v>0</v>
      </c>
      <c r="W127" s="590">
        <v>0</v>
      </c>
    </row>
    <row r="128" spans="2:23" hidden="1" x14ac:dyDescent="0.25">
      <c r="B128" s="55">
        <f>Fluxo_de_Caixa_Janeiro[[#This Row],[Fluxo de Caixa 2026 CTR]]</f>
        <v>0</v>
      </c>
      <c r="C128" s="35">
        <f>Fluxo_de_Caixa_Janeiro[[#This Row],[Janeiro]]</f>
        <v>0</v>
      </c>
      <c r="D128" s="62">
        <f>Fluxo_de_Caixa_Janeiro3[[#This Row],[Fevereiro]]</f>
        <v>0</v>
      </c>
      <c r="E128" s="62">
        <f>Fluxo_de_Caixa_Janeiro34[[#This Row],[Março]]</f>
        <v>0</v>
      </c>
      <c r="F128" s="62"/>
      <c r="G128" s="62"/>
      <c r="H128" s="62"/>
      <c r="I128" s="35"/>
      <c r="J128" s="62"/>
      <c r="K128" s="62"/>
      <c r="L128" s="62"/>
      <c r="M128" s="62"/>
      <c r="N128" s="119"/>
      <c r="O128" s="224">
        <f>SUM(Fluxo_de_Caixa_Janeiro31020[[#This Row],[Janeiro]:[Dezembro]])</f>
        <v>0</v>
      </c>
      <c r="P128" s="194">
        <f t="shared" si="7"/>
        <v>0</v>
      </c>
      <c r="Q128" s="317">
        <v>0</v>
      </c>
      <c r="R128" s="32" t="str">
        <f>IF(Fluxo_de_Caixa_Janeiro31020[[#This Row],[% ACUMULADO  1º Trimes 2026]]&lt;=Fluxo_de_Caixa_Janeiro31020[[#This Row],[% ACUMULADO  1º Trimes 2025]],"VERDADEIRO","FALSO")</f>
        <v>VERDADEIRO</v>
      </c>
      <c r="V128" s="516">
        <v>0</v>
      </c>
      <c r="W128" s="590">
        <v>0</v>
      </c>
    </row>
    <row r="129" spans="1:23" hidden="1" x14ac:dyDescent="0.25">
      <c r="B129" s="55">
        <f>Fluxo_de_Caixa_Janeiro[[#This Row],[Fluxo de Caixa 2026 CTR]]</f>
        <v>0</v>
      </c>
      <c r="C129" s="35">
        <f>Fluxo_de_Caixa_Janeiro[[#This Row],[Janeiro]]</f>
        <v>0</v>
      </c>
      <c r="D129" s="62">
        <f>Fluxo_de_Caixa_Janeiro3[[#This Row],[Fevereiro]]</f>
        <v>0</v>
      </c>
      <c r="E129" s="62">
        <f>Fluxo_de_Caixa_Janeiro34[[#This Row],[Março]]</f>
        <v>0</v>
      </c>
      <c r="F129" s="62"/>
      <c r="G129" s="62"/>
      <c r="H129" s="62"/>
      <c r="I129" s="35"/>
      <c r="J129" s="62"/>
      <c r="K129" s="62"/>
      <c r="L129" s="62"/>
      <c r="M129" s="62"/>
      <c r="N129" s="119"/>
      <c r="O129" s="224">
        <f>SUM(Fluxo_de_Caixa_Janeiro31020[[#This Row],[Janeiro]:[Dezembro]])</f>
        <v>0</v>
      </c>
      <c r="P129" s="194">
        <f t="shared" si="7"/>
        <v>0</v>
      </c>
      <c r="Q129" s="317">
        <v>0</v>
      </c>
      <c r="R129" s="32" t="str">
        <f>IF(Fluxo_de_Caixa_Janeiro31020[[#This Row],[% ACUMULADO  1º Trimes 2026]]&lt;=Fluxo_de_Caixa_Janeiro31020[[#This Row],[% ACUMULADO  1º Trimes 2025]],"VERDADEIRO","FALSO")</f>
        <v>VERDADEIRO</v>
      </c>
      <c r="V129" s="516">
        <v>0</v>
      </c>
      <c r="W129" s="590">
        <v>0</v>
      </c>
    </row>
    <row r="130" spans="1:23" ht="15.75" hidden="1" thickBot="1" x14ac:dyDescent="0.3">
      <c r="B130" s="276">
        <f>Fluxo_de_Caixa_Janeiro[[#This Row],[Fluxo de Caixa 2026 CTR]]</f>
        <v>0</v>
      </c>
      <c r="C130" s="36">
        <f>Fluxo_de_Caixa_Janeiro[[#This Row],[Janeiro]]</f>
        <v>0</v>
      </c>
      <c r="D130" s="82">
        <f>Fluxo_de_Caixa_Janeiro3[[#This Row],[Fevereiro]]</f>
        <v>0</v>
      </c>
      <c r="E130" s="82">
        <f>Fluxo_de_Caixa_Janeiro34[[#This Row],[Março]]</f>
        <v>0</v>
      </c>
      <c r="F130" s="82"/>
      <c r="G130" s="82"/>
      <c r="H130" s="82"/>
      <c r="I130" s="36"/>
      <c r="J130" s="82"/>
      <c r="K130" s="82"/>
      <c r="L130" s="82"/>
      <c r="M130" s="82"/>
      <c r="N130" s="120"/>
      <c r="O130" s="225">
        <f>SUM(Fluxo_de_Caixa_Janeiro31020[[#This Row],[Janeiro]:[Dezembro]])</f>
        <v>0</v>
      </c>
      <c r="P130" s="195">
        <f t="shared" si="7"/>
        <v>0</v>
      </c>
      <c r="Q130" s="548">
        <v>0</v>
      </c>
      <c r="R130" s="32" t="str">
        <f>IF(Fluxo_de_Caixa_Janeiro31020[[#This Row],[% ACUMULADO  1º Trimes 2026]]&lt;=Fluxo_de_Caixa_Janeiro31020[[#This Row],[% ACUMULADO  1º Trimes 2025]],"VERDADEIRO","FALSO")</f>
        <v>VERDADEIRO</v>
      </c>
      <c r="V130" s="517">
        <v>0</v>
      </c>
      <c r="W130" s="591">
        <v>0</v>
      </c>
    </row>
    <row r="131" spans="1:23" ht="19.5" thickBot="1" x14ac:dyDescent="0.35">
      <c r="A131" s="16" t="s">
        <v>5</v>
      </c>
      <c r="B131" s="277" t="str">
        <f>Fluxo_de_Caixa_Janeiro[[#This Row],[Fluxo de Caixa 2026 CTR]]</f>
        <v>3.3. DESPESAS INFORMATICA</v>
      </c>
      <c r="C131" s="158">
        <f>Fluxo_de_Caixa_Janeiro[[#This Row],[Janeiro]]</f>
        <v>-5693.12</v>
      </c>
      <c r="D131" s="97">
        <f>Fluxo_de_Caixa_Janeiro3[[#This Row],[Fevereiro]]</f>
        <v>-6089.2800000000007</v>
      </c>
      <c r="E131" s="97">
        <f>Fluxo_de_Caixa_Janeiro34[[#This Row],[Março]]</f>
        <v>-6861.52</v>
      </c>
      <c r="F131" s="97"/>
      <c r="G131" s="97"/>
      <c r="H131" s="97"/>
      <c r="I131" s="158"/>
      <c r="J131" s="97"/>
      <c r="K131" s="97"/>
      <c r="L131" s="97"/>
      <c r="M131" s="97"/>
      <c r="N131" s="129"/>
      <c r="O131" s="226">
        <f>SUM(Fluxo_de_Caixa_Janeiro31020[[#This Row],[Janeiro]:[Dezembro]])</f>
        <v>-18643.920000000002</v>
      </c>
      <c r="P131" s="144">
        <f>-IFERROR(O131/$O$27,"0,00")</f>
        <v>6.4826500171675881E-3</v>
      </c>
      <c r="Q131" s="549">
        <v>7.0735773856640616E-3</v>
      </c>
      <c r="R131" s="32" t="str">
        <f>IF(Fluxo_de_Caixa_Janeiro31020[[#This Row],[% ACUMULADO  1º Trimes 2026]]&lt;=Fluxo_de_Caixa_Janeiro31020[[#This Row],[% ACUMULADO  1º Trimes 2025]],"VERDADEIRO","FALSO")</f>
        <v>VERDADEIRO</v>
      </c>
      <c r="S131" s="658"/>
      <c r="V131" s="518">
        <v>-19031.120000000003</v>
      </c>
      <c r="W131" s="592">
        <v>7.0735773856640616E-3</v>
      </c>
    </row>
    <row r="132" spans="1:23" x14ac:dyDescent="0.25">
      <c r="B132" s="169" t="str">
        <f>Fluxo_de_Caixa_Janeiro[[#This Row],[Fluxo de Caixa 2026 CTR]]</f>
        <v>3.3.01. Aquisição Equipamento Informa. Não Imobilizavel</v>
      </c>
      <c r="C132" s="41">
        <f>Fluxo_de_Caixa_Janeiro[[#This Row],[Janeiro]]</f>
        <v>0</v>
      </c>
      <c r="D132" s="81">
        <f>Fluxo_de_Caixa_Janeiro3[[#This Row],[Fevereiro]]</f>
        <v>0</v>
      </c>
      <c r="E132" s="81">
        <f>Fluxo_de_Caixa_Janeiro34[[#This Row],[Março]]</f>
        <v>0</v>
      </c>
      <c r="F132" s="81"/>
      <c r="G132" s="81"/>
      <c r="H132" s="81"/>
      <c r="I132" s="41"/>
      <c r="J132" s="81"/>
      <c r="K132" s="81"/>
      <c r="L132" s="81"/>
      <c r="M132" s="81"/>
      <c r="N132" s="118"/>
      <c r="O132" s="223">
        <f>SUM(Fluxo_de_Caixa_Janeiro31020[[#This Row],[Janeiro]:[Dezembro]])</f>
        <v>0</v>
      </c>
      <c r="P132" s="193">
        <f t="shared" ref="P132:P144" si="8">IFERROR(O132/$O$27,"0,00%")</f>
        <v>0</v>
      </c>
      <c r="Q132" s="547">
        <v>2.1989688468473439E-3</v>
      </c>
      <c r="R132" s="32" t="str">
        <f>IF(Fluxo_de_Caixa_Janeiro31020[[#This Row],[% ACUMULADO  1º Trimes 2026]]&lt;=Fluxo_de_Caixa_Janeiro31020[[#This Row],[% ACUMULADO  1º Trimes 2025]],"VERDADEIRO","FALSO")</f>
        <v>VERDADEIRO</v>
      </c>
      <c r="V132" s="515">
        <v>5916.2199999999993</v>
      </c>
      <c r="W132" s="589">
        <v>2.1989688468473439E-3</v>
      </c>
    </row>
    <row r="133" spans="1:23" hidden="1" x14ac:dyDescent="0.25">
      <c r="B133" s="55">
        <f>Fluxo_de_Caixa_Janeiro[[#This Row],[Fluxo de Caixa 2026 CTR]]</f>
        <v>0</v>
      </c>
      <c r="C133" s="35">
        <f>Fluxo_de_Caixa_Janeiro[[#This Row],[Janeiro]]</f>
        <v>0</v>
      </c>
      <c r="D133" s="62">
        <f>Fluxo_de_Caixa_Janeiro3[[#This Row],[Fevereiro]]</f>
        <v>0</v>
      </c>
      <c r="E133" s="62">
        <f>Fluxo_de_Caixa_Janeiro34[[#This Row],[Março]]</f>
        <v>0</v>
      </c>
      <c r="F133" s="62"/>
      <c r="G133" s="62"/>
      <c r="H133" s="62"/>
      <c r="I133" s="35"/>
      <c r="J133" s="62"/>
      <c r="K133" s="62"/>
      <c r="L133" s="62"/>
      <c r="M133" s="62"/>
      <c r="N133" s="119"/>
      <c r="O133" s="224">
        <f>SUM(Fluxo_de_Caixa_Janeiro31020[[#This Row],[Janeiro]:[Dezembro]])</f>
        <v>0</v>
      </c>
      <c r="P133" s="194">
        <f t="shared" si="8"/>
        <v>0</v>
      </c>
      <c r="Q133" s="317">
        <v>0</v>
      </c>
      <c r="R133" s="32" t="str">
        <f>IF(Fluxo_de_Caixa_Janeiro31020[[#This Row],[% ACUMULADO  1º Trimes 2026]]&lt;=Fluxo_de_Caixa_Janeiro31020[[#This Row],[% ACUMULADO  1º Trimes 2025]],"VERDADEIRO","FALSO")</f>
        <v>VERDADEIRO</v>
      </c>
      <c r="V133" s="516">
        <v>0</v>
      </c>
      <c r="W133" s="590">
        <v>0</v>
      </c>
    </row>
    <row r="134" spans="1:23" x14ac:dyDescent="0.25">
      <c r="B134" s="55" t="str">
        <f>Fluxo_de_Caixa_Janeiro[[#This Row],[Fluxo de Caixa 2026 CTR]]</f>
        <v>3.3.03. Consultoria de TI</v>
      </c>
      <c r="C134" s="35">
        <f>Fluxo_de_Caixa_Janeiro[[#This Row],[Janeiro]]</f>
        <v>2050</v>
      </c>
      <c r="D134" s="62">
        <f>Fluxo_de_Caixa_Janeiro3[[#This Row],[Fevereiro]]</f>
        <v>1350</v>
      </c>
      <c r="E134" s="62">
        <f>Fluxo_de_Caixa_Janeiro34[[#This Row],[Março]]</f>
        <v>3380</v>
      </c>
      <c r="F134" s="62"/>
      <c r="G134" s="62"/>
      <c r="H134" s="62"/>
      <c r="I134" s="35"/>
      <c r="J134" s="62"/>
      <c r="K134" s="62"/>
      <c r="L134" s="62"/>
      <c r="M134" s="62"/>
      <c r="N134" s="119"/>
      <c r="O134" s="224">
        <f>SUM(Fluxo_de_Caixa_Janeiro31020[[#This Row],[Janeiro]:[Dezembro]])</f>
        <v>6780</v>
      </c>
      <c r="P134" s="194">
        <f t="shared" si="8"/>
        <v>2.3574638335927341E-3</v>
      </c>
      <c r="Q134" s="317">
        <v>1.2823124430165439E-3</v>
      </c>
      <c r="R134" s="32" t="str">
        <f>IF(Fluxo_de_Caixa_Janeiro31020[[#This Row],[% ACUMULADO  1º Trimes 2026]]&lt;=Fluxo_de_Caixa_Janeiro31020[[#This Row],[% ACUMULADO  1º Trimes 2025]],"VERDADEIRO","FALSO")</f>
        <v>FALSO</v>
      </c>
      <c r="V134" s="516">
        <v>3450</v>
      </c>
      <c r="W134" s="590">
        <v>1.2823124430165439E-3</v>
      </c>
    </row>
    <row r="135" spans="1:23" x14ac:dyDescent="0.25">
      <c r="B135" s="55" t="str">
        <f>Fluxo_de_Caixa_Janeiro[[#This Row],[Fluxo de Caixa 2026 CTR]]</f>
        <v>3.3.04. Mensalidade Programa de Tecnologia Informatica</v>
      </c>
      <c r="C135" s="35">
        <f>Fluxo_de_Caixa_Janeiro[[#This Row],[Janeiro]]</f>
        <v>3163.12</v>
      </c>
      <c r="D135" s="62">
        <f>Fluxo_de_Caixa_Janeiro3[[#This Row],[Fevereiro]]</f>
        <v>3462.52</v>
      </c>
      <c r="E135" s="62">
        <f>Fluxo_de_Caixa_Janeiro34[[#This Row],[Março]]</f>
        <v>3481.52</v>
      </c>
      <c r="F135" s="62"/>
      <c r="G135" s="62"/>
      <c r="H135" s="62"/>
      <c r="I135" s="35"/>
      <c r="J135" s="62"/>
      <c r="K135" s="62"/>
      <c r="L135" s="62"/>
      <c r="M135" s="62"/>
      <c r="N135" s="119"/>
      <c r="O135" s="224">
        <f>SUM(Fluxo_de_Caixa_Janeiro31020[[#This Row],[Janeiro]:[Dezembro]])</f>
        <v>10107.16</v>
      </c>
      <c r="P135" s="194">
        <f t="shared" si="8"/>
        <v>3.5143457463621144E-3</v>
      </c>
      <c r="Q135" s="317">
        <v>2.9165508899594017E-3</v>
      </c>
      <c r="R135" s="32" t="str">
        <f>IF(Fluxo_de_Caixa_Janeiro31020[[#This Row],[% ACUMULADO  1º Trimes 2026]]&lt;=Fluxo_de_Caixa_Janeiro31020[[#This Row],[% ACUMULADO  1º Trimes 2025]],"VERDADEIRO","FALSO")</f>
        <v>FALSO</v>
      </c>
      <c r="V135" s="516">
        <v>7846.8399999999992</v>
      </c>
      <c r="W135" s="590">
        <v>2.9165508899594017E-3</v>
      </c>
    </row>
    <row r="136" spans="1:23" x14ac:dyDescent="0.25">
      <c r="B136" s="55" t="str">
        <f>Fluxo_de_Caixa_Janeiro[[#This Row],[Fluxo de Caixa 2026 CTR]]</f>
        <v>3.3.05. MANUT E REPAROS EM EQUIPAME. INFORMATI</v>
      </c>
      <c r="C136" s="35">
        <f>Fluxo_de_Caixa_Janeiro[[#This Row],[Janeiro]]</f>
        <v>480</v>
      </c>
      <c r="D136" s="62">
        <f>Fluxo_de_Caixa_Janeiro3[[#This Row],[Fevereiro]]</f>
        <v>336.62</v>
      </c>
      <c r="E136" s="62">
        <f>Fluxo_de_Caixa_Janeiro34[[#This Row],[Março]]</f>
        <v>0</v>
      </c>
      <c r="F136" s="62"/>
      <c r="G136" s="62"/>
      <c r="H136" s="62"/>
      <c r="I136" s="35"/>
      <c r="J136" s="62"/>
      <c r="K136" s="62"/>
      <c r="L136" s="62"/>
      <c r="M136" s="62"/>
      <c r="N136" s="119"/>
      <c r="O136" s="224">
        <f>SUM(Fluxo_de_Caixa_Janeiro31020[[#This Row],[Janeiro]:[Dezembro]])</f>
        <v>816.62</v>
      </c>
      <c r="P136" s="194">
        <f t="shared" si="8"/>
        <v>2.8394573979181393E-4</v>
      </c>
      <c r="Q136" s="317">
        <v>2.6017933626422629E-4</v>
      </c>
      <c r="R136" s="32" t="str">
        <f>IF(Fluxo_de_Caixa_Janeiro31020[[#This Row],[% ACUMULADO  1º Trimes 2026]]&lt;=Fluxo_de_Caixa_Janeiro31020[[#This Row],[% ACUMULADO  1º Trimes 2025]],"VERDADEIRO","FALSO")</f>
        <v>FALSO</v>
      </c>
      <c r="V136" s="516">
        <v>700</v>
      </c>
      <c r="W136" s="590">
        <v>2.6017933626422629E-4</v>
      </c>
    </row>
    <row r="137" spans="1:23" x14ac:dyDescent="0.25">
      <c r="B137" s="55" t="str">
        <f>Fluxo_de_Caixa_Janeiro[[#This Row],[Fluxo de Caixa 2026 CTR]]</f>
        <v>3.3.06. Manutenção Sitemas e Softwares</v>
      </c>
      <c r="C137" s="35">
        <f>Fluxo_de_Caixa_Janeiro[[#This Row],[Janeiro]]</f>
        <v>0</v>
      </c>
      <c r="D137" s="62">
        <f>Fluxo_de_Caixa_Janeiro3[[#This Row],[Fevereiro]]</f>
        <v>940.14</v>
      </c>
      <c r="E137" s="62">
        <f>Fluxo_de_Caixa_Janeiro34[[#This Row],[Março]]</f>
        <v>0</v>
      </c>
      <c r="F137" s="62"/>
      <c r="G137" s="62"/>
      <c r="H137" s="62"/>
      <c r="I137" s="35"/>
      <c r="J137" s="62"/>
      <c r="K137" s="62"/>
      <c r="L137" s="62"/>
      <c r="M137" s="62"/>
      <c r="N137" s="119"/>
      <c r="O137" s="224">
        <f>SUM(Fluxo_de_Caixa_Janeiro31020[[#This Row],[Janeiro]:[Dezembro]])</f>
        <v>940.14</v>
      </c>
      <c r="P137" s="194">
        <f t="shared" si="8"/>
        <v>3.268946974209252E-4</v>
      </c>
      <c r="Q137" s="317">
        <v>4.1556586957654408E-4</v>
      </c>
      <c r="R137" s="32" t="str">
        <f>IF(Fluxo_de_Caixa_Janeiro31020[[#This Row],[% ACUMULADO  1º Trimes 2026]]&lt;=Fluxo_de_Caixa_Janeiro31020[[#This Row],[% ACUMULADO  1º Trimes 2025]],"VERDADEIRO","FALSO")</f>
        <v>VERDADEIRO</v>
      </c>
      <c r="V137" s="516">
        <v>1118.06</v>
      </c>
      <c r="W137" s="590">
        <v>4.1556586957654408E-4</v>
      </c>
    </row>
    <row r="138" spans="1:23" x14ac:dyDescent="0.25">
      <c r="B138" s="55" t="str">
        <f>Fluxo_de_Caixa_Janeiro[[#This Row],[Fluxo de Caixa 2026 CTR]]</f>
        <v>3.3.07. Locação Equipamento Informatica</v>
      </c>
      <c r="C138" s="35">
        <f>Fluxo_de_Caixa_Janeiro[[#This Row],[Janeiro]]</f>
        <v>0</v>
      </c>
      <c r="D138" s="62">
        <f>Fluxo_de_Caixa_Janeiro3[[#This Row],[Fevereiro]]</f>
        <v>0</v>
      </c>
      <c r="E138" s="62">
        <f>Fluxo_de_Caixa_Janeiro34[[#This Row],[Março]]</f>
        <v>0</v>
      </c>
      <c r="F138" s="62"/>
      <c r="G138" s="62"/>
      <c r="H138" s="62"/>
      <c r="I138" s="35"/>
      <c r="J138" s="62"/>
      <c r="K138" s="62"/>
      <c r="L138" s="62"/>
      <c r="M138" s="62"/>
      <c r="N138" s="119"/>
      <c r="O138" s="224">
        <f>SUM(Fluxo_de_Caixa_Janeiro31020[[#This Row],[Janeiro]:[Dezembro]])</f>
        <v>0</v>
      </c>
      <c r="P138" s="194">
        <f t="shared" si="8"/>
        <v>0</v>
      </c>
      <c r="Q138" s="317">
        <v>0</v>
      </c>
      <c r="R138" s="32" t="str">
        <f>IF(Fluxo_de_Caixa_Janeiro31020[[#This Row],[% ACUMULADO  1º Trimes 2026]]&lt;=Fluxo_de_Caixa_Janeiro31020[[#This Row],[% ACUMULADO  1º Trimes 2025]],"VERDADEIRO","FALSO")</f>
        <v>VERDADEIRO</v>
      </c>
      <c r="V138" s="516">
        <v>0</v>
      </c>
      <c r="W138" s="590">
        <v>0</v>
      </c>
    </row>
    <row r="139" spans="1:23" x14ac:dyDescent="0.25">
      <c r="B139" s="55" t="str">
        <f>Fluxo_de_Caixa_Janeiro[[#This Row],[Fluxo de Caixa 2026 CTR]]</f>
        <v>3.3.08. Transmissão de Dados Servidor</v>
      </c>
      <c r="C139" s="35">
        <f>Fluxo_de_Caixa_Janeiro[[#This Row],[Janeiro]]</f>
        <v>0</v>
      </c>
      <c r="D139" s="62">
        <f>Fluxo_de_Caixa_Janeiro3[[#This Row],[Fevereiro]]</f>
        <v>0</v>
      </c>
      <c r="E139" s="62">
        <f>Fluxo_de_Caixa_Janeiro34[[#This Row],[Março]]</f>
        <v>0</v>
      </c>
      <c r="F139" s="62"/>
      <c r="G139" s="62"/>
      <c r="H139" s="62"/>
      <c r="I139" s="35"/>
      <c r="J139" s="62"/>
      <c r="K139" s="62"/>
      <c r="L139" s="62"/>
      <c r="M139" s="62"/>
      <c r="N139" s="119"/>
      <c r="O139" s="224">
        <f>SUM(Fluxo_de_Caixa_Janeiro31020[[#This Row],[Janeiro]:[Dezembro]])</f>
        <v>0</v>
      </c>
      <c r="P139" s="194">
        <f t="shared" si="8"/>
        <v>0</v>
      </c>
      <c r="Q139" s="317">
        <v>0</v>
      </c>
      <c r="R139" s="32" t="str">
        <f>IF(Fluxo_de_Caixa_Janeiro31020[[#This Row],[% ACUMULADO  1º Trimes 2026]]&lt;=Fluxo_de_Caixa_Janeiro31020[[#This Row],[% ACUMULADO  1º Trimes 2025]],"VERDADEIRO","FALSO")</f>
        <v>VERDADEIRO</v>
      </c>
      <c r="V139" s="516">
        <v>0</v>
      </c>
      <c r="W139" s="590">
        <v>0</v>
      </c>
    </row>
    <row r="140" spans="1:23" ht="15.75" thickBot="1" x14ac:dyDescent="0.3">
      <c r="B140" s="55" t="str">
        <f>Fluxo_de_Caixa_Janeiro[[#This Row],[Fluxo de Caixa 2026 CTR]]</f>
        <v>3.3.09. Viagens e Estadias - CPD</v>
      </c>
      <c r="C140" s="35">
        <f>Fluxo_de_Caixa_Janeiro[[#This Row],[Janeiro]]</f>
        <v>0</v>
      </c>
      <c r="D140" s="62">
        <f>Fluxo_de_Caixa_Janeiro3[[#This Row],[Fevereiro]]</f>
        <v>0</v>
      </c>
      <c r="E140" s="62">
        <f>Fluxo_de_Caixa_Janeiro34[[#This Row],[Março]]</f>
        <v>0</v>
      </c>
      <c r="F140" s="62"/>
      <c r="G140" s="62"/>
      <c r="H140" s="62"/>
      <c r="I140" s="35"/>
      <c r="J140" s="62"/>
      <c r="K140" s="62"/>
      <c r="L140" s="62"/>
      <c r="M140" s="62"/>
      <c r="N140" s="119"/>
      <c r="O140" s="224">
        <f>SUM(Fluxo_de_Caixa_Janeiro31020[[#This Row],[Janeiro]:[Dezembro]])</f>
        <v>0</v>
      </c>
      <c r="P140" s="194">
        <f t="shared" si="8"/>
        <v>0</v>
      </c>
      <c r="Q140" s="317">
        <v>0</v>
      </c>
      <c r="R140" s="32" t="str">
        <f>IF(Fluxo_de_Caixa_Janeiro31020[[#This Row],[% ACUMULADO  1º Trimes 2026]]&lt;=Fluxo_de_Caixa_Janeiro31020[[#This Row],[% ACUMULADO  1º Trimes 2025]],"VERDADEIRO","FALSO")</f>
        <v>VERDADEIRO</v>
      </c>
      <c r="V140" s="516">
        <v>0</v>
      </c>
      <c r="W140" s="590">
        <v>0</v>
      </c>
    </row>
    <row r="141" spans="1:23" hidden="1" x14ac:dyDescent="0.25">
      <c r="B141" s="55">
        <f>Fluxo_de_Caixa_Janeiro[[#This Row],[Fluxo de Caixa 2026 CTR]]</f>
        <v>0</v>
      </c>
      <c r="C141" s="35">
        <f>Fluxo_de_Caixa_Janeiro[[#This Row],[Janeiro]]</f>
        <v>0</v>
      </c>
      <c r="D141" s="62">
        <f>Fluxo_de_Caixa_Janeiro3[[#This Row],[Fevereiro]]</f>
        <v>0</v>
      </c>
      <c r="E141" s="62">
        <f>Fluxo_de_Caixa_Janeiro34[[#This Row],[Março]]</f>
        <v>0</v>
      </c>
      <c r="F141" s="62"/>
      <c r="G141" s="62"/>
      <c r="H141" s="62"/>
      <c r="I141" s="35"/>
      <c r="J141" s="62"/>
      <c r="K141" s="62"/>
      <c r="L141" s="62"/>
      <c r="M141" s="62"/>
      <c r="N141" s="119"/>
      <c r="O141" s="224">
        <f>SUM(Fluxo_de_Caixa_Janeiro31020[[#This Row],[Janeiro]:[Dezembro]])</f>
        <v>0</v>
      </c>
      <c r="P141" s="194">
        <f t="shared" si="8"/>
        <v>0</v>
      </c>
      <c r="Q141" s="317">
        <v>0</v>
      </c>
      <c r="R141" s="32" t="str">
        <f>IF(Fluxo_de_Caixa_Janeiro31020[[#This Row],[% ACUMULADO  1º Trimes 2026]]&lt;=Fluxo_de_Caixa_Janeiro31020[[#This Row],[% ACUMULADO  1º Trimes 2025]],"VERDADEIRO","FALSO")</f>
        <v>VERDADEIRO</v>
      </c>
      <c r="V141" s="516">
        <v>0</v>
      </c>
      <c r="W141" s="590">
        <v>0</v>
      </c>
    </row>
    <row r="142" spans="1:23" hidden="1" x14ac:dyDescent="0.25">
      <c r="B142" s="55">
        <f>Fluxo_de_Caixa_Janeiro[[#This Row],[Fluxo de Caixa 2026 CTR]]</f>
        <v>0</v>
      </c>
      <c r="C142" s="35">
        <f>Fluxo_de_Caixa_Janeiro[[#This Row],[Janeiro]]</f>
        <v>0</v>
      </c>
      <c r="D142" s="62">
        <f>Fluxo_de_Caixa_Janeiro3[[#This Row],[Fevereiro]]</f>
        <v>0</v>
      </c>
      <c r="E142" s="62">
        <f>Fluxo_de_Caixa_Janeiro34[[#This Row],[Março]]</f>
        <v>0</v>
      </c>
      <c r="F142" s="62"/>
      <c r="G142" s="62"/>
      <c r="H142" s="62"/>
      <c r="I142" s="35"/>
      <c r="J142" s="62"/>
      <c r="K142" s="62"/>
      <c r="L142" s="62"/>
      <c r="M142" s="62"/>
      <c r="N142" s="119"/>
      <c r="O142" s="224">
        <f>SUM(Fluxo_de_Caixa_Janeiro31020[[#This Row],[Janeiro]:[Dezembro]])</f>
        <v>0</v>
      </c>
      <c r="P142" s="194">
        <f t="shared" si="8"/>
        <v>0</v>
      </c>
      <c r="Q142" s="317">
        <v>0</v>
      </c>
      <c r="R142" s="32" t="str">
        <f>IF(Fluxo_de_Caixa_Janeiro31020[[#This Row],[% ACUMULADO  1º Trimes 2026]]&lt;=Fluxo_de_Caixa_Janeiro31020[[#This Row],[% ACUMULADO  1º Trimes 2025]],"VERDADEIRO","FALSO")</f>
        <v>VERDADEIRO</v>
      </c>
      <c r="V142" s="516">
        <v>0</v>
      </c>
      <c r="W142" s="590">
        <v>0</v>
      </c>
    </row>
    <row r="143" spans="1:23" hidden="1" x14ac:dyDescent="0.25">
      <c r="B143" s="55">
        <f>Fluxo_de_Caixa_Janeiro[[#This Row],[Fluxo de Caixa 2026 CTR]]</f>
        <v>0</v>
      </c>
      <c r="C143" s="35">
        <f>Fluxo_de_Caixa_Janeiro[[#This Row],[Janeiro]]</f>
        <v>0</v>
      </c>
      <c r="D143" s="62">
        <f>Fluxo_de_Caixa_Janeiro3[[#This Row],[Fevereiro]]</f>
        <v>0</v>
      </c>
      <c r="E143" s="62">
        <f>Fluxo_de_Caixa_Janeiro34[[#This Row],[Março]]</f>
        <v>0</v>
      </c>
      <c r="F143" s="62"/>
      <c r="G143" s="62"/>
      <c r="H143" s="62"/>
      <c r="I143" s="35"/>
      <c r="J143" s="62"/>
      <c r="K143" s="62"/>
      <c r="L143" s="62"/>
      <c r="M143" s="62"/>
      <c r="N143" s="119"/>
      <c r="O143" s="224">
        <f>SUM(Fluxo_de_Caixa_Janeiro31020[[#This Row],[Janeiro]:[Dezembro]])</f>
        <v>0</v>
      </c>
      <c r="P143" s="194">
        <f t="shared" si="8"/>
        <v>0</v>
      </c>
      <c r="Q143" s="317">
        <v>0</v>
      </c>
      <c r="R143" s="32" t="str">
        <f>IF(Fluxo_de_Caixa_Janeiro31020[[#This Row],[% ACUMULADO  1º Trimes 2026]]&lt;=Fluxo_de_Caixa_Janeiro31020[[#This Row],[% ACUMULADO  1º Trimes 2025]],"VERDADEIRO","FALSO")</f>
        <v>VERDADEIRO</v>
      </c>
      <c r="V143" s="516">
        <v>0</v>
      </c>
      <c r="W143" s="590">
        <v>0</v>
      </c>
    </row>
    <row r="144" spans="1:23" ht="15.75" hidden="1" thickBot="1" x14ac:dyDescent="0.3">
      <c r="B144" s="55">
        <f>Fluxo_de_Caixa_Janeiro[[#This Row],[Fluxo de Caixa 2026 CTR]]</f>
        <v>0</v>
      </c>
      <c r="C144" s="35">
        <f>Fluxo_de_Caixa_Janeiro[[#This Row],[Janeiro]]</f>
        <v>0</v>
      </c>
      <c r="D144" s="62">
        <f>Fluxo_de_Caixa_Janeiro3[[#This Row],[Fevereiro]]</f>
        <v>0</v>
      </c>
      <c r="E144" s="62">
        <f>Fluxo_de_Caixa_Janeiro34[[#This Row],[Março]]</f>
        <v>0</v>
      </c>
      <c r="F144" s="62"/>
      <c r="G144" s="62"/>
      <c r="H144" s="62"/>
      <c r="I144" s="35"/>
      <c r="J144" s="62"/>
      <c r="K144" s="62"/>
      <c r="L144" s="62"/>
      <c r="M144" s="62"/>
      <c r="N144" s="119"/>
      <c r="O144" s="224">
        <f>SUM(Fluxo_de_Caixa_Janeiro31020[[#This Row],[Janeiro]:[Dezembro]])</f>
        <v>0</v>
      </c>
      <c r="P144" s="194">
        <f t="shared" si="8"/>
        <v>0</v>
      </c>
      <c r="Q144" s="317">
        <v>0</v>
      </c>
      <c r="R144" s="32" t="str">
        <f>IF(Fluxo_de_Caixa_Janeiro31020[[#This Row],[% ACUMULADO  1º Trimes 2026]]&lt;=Fluxo_de_Caixa_Janeiro31020[[#This Row],[% ACUMULADO  1º Trimes 2025]],"VERDADEIRO","FALSO")</f>
        <v>VERDADEIRO</v>
      </c>
      <c r="V144" s="516">
        <v>0</v>
      </c>
      <c r="W144" s="590">
        <v>0</v>
      </c>
    </row>
    <row r="145" spans="2:23" ht="19.5" thickBot="1" x14ac:dyDescent="0.35">
      <c r="B145" s="277" t="str">
        <f>Fluxo_de_Caixa_Janeiro[[#This Row],[Fluxo de Caixa 2026 CTR]]</f>
        <v>3.4. ADMINISTRATIVAS</v>
      </c>
      <c r="C145" s="158">
        <f>Fluxo_de_Caixa_Janeiro[[#This Row],[Janeiro]]</f>
        <v>-34177.839999999997</v>
      </c>
      <c r="D145" s="97">
        <f>Fluxo_de_Caixa_Janeiro3[[#This Row],[Fevereiro]]</f>
        <v>-38145.9</v>
      </c>
      <c r="E145" s="97">
        <f>Fluxo_de_Caixa_Janeiro34[[#This Row],[Março]]</f>
        <v>-38590.86</v>
      </c>
      <c r="F145" s="97"/>
      <c r="G145" s="97"/>
      <c r="H145" s="97"/>
      <c r="I145" s="158"/>
      <c r="J145" s="97"/>
      <c r="K145" s="97"/>
      <c r="L145" s="97"/>
      <c r="M145" s="97"/>
      <c r="N145" s="129"/>
      <c r="O145" s="226">
        <f>SUM(Fluxo_de_Caixa_Janeiro31020[[#This Row],[Janeiro]:[Dezembro]])</f>
        <v>-110914.59999999999</v>
      </c>
      <c r="P145" s="144">
        <f>-IFERROR(O145/$O$27,"0,00")</f>
        <v>3.8565952524690951E-2</v>
      </c>
      <c r="Q145" s="549">
        <v>4.7990011670678651E-2</v>
      </c>
      <c r="R145" s="32" t="str">
        <f>IF(Fluxo_de_Caixa_Janeiro31020[[#This Row],[% ACUMULADO  1º Trimes 2026]]&lt;=Fluxo_de_Caixa_Janeiro31020[[#This Row],[% ACUMULADO  1º Trimes 2025]],"VERDADEIRO","FALSO")</f>
        <v>VERDADEIRO</v>
      </c>
      <c r="S145" s="658"/>
      <c r="V145" s="518">
        <v>-129114.82</v>
      </c>
      <c r="W145" s="592">
        <v>4.7990011670678651E-2</v>
      </c>
    </row>
    <row r="146" spans="2:23" x14ac:dyDescent="0.25">
      <c r="B146" s="55" t="str">
        <f>Fluxo_de_Caixa_Janeiro[[#This Row],[Fluxo de Caixa 2026 CTR]]</f>
        <v>3.4.01. Supermercado/Padaria/Farmácia</v>
      </c>
      <c r="C146" s="35">
        <f>Fluxo_de_Caixa_Janeiro[[#This Row],[Janeiro]]</f>
        <v>1344.42</v>
      </c>
      <c r="D146" s="62">
        <f>Fluxo_de_Caixa_Janeiro3[[#This Row],[Fevereiro]]</f>
        <v>1995.03</v>
      </c>
      <c r="E146" s="62">
        <f>Fluxo_de_Caixa_Janeiro34[[#This Row],[Março]]</f>
        <v>2834.3500000000004</v>
      </c>
      <c r="F146" s="62"/>
      <c r="G146" s="62"/>
      <c r="H146" s="62"/>
      <c r="I146" s="35"/>
      <c r="J146" s="62"/>
      <c r="K146" s="62"/>
      <c r="L146" s="62"/>
      <c r="M146" s="62"/>
      <c r="N146" s="119"/>
      <c r="O146" s="224">
        <f>SUM(Fluxo_de_Caixa_Janeiro31020[[#This Row],[Janeiro]:[Dezembro]])</f>
        <v>6173.8</v>
      </c>
      <c r="P146" s="194">
        <f t="shared" ref="P146:P166" si="9">IFERROR(O146/$O$27,"0,00%")</f>
        <v>2.1466829226895016E-3</v>
      </c>
      <c r="Q146" s="317">
        <v>1.8573347940941103E-3</v>
      </c>
      <c r="R146" s="32" t="str">
        <f>IF(Fluxo_de_Caixa_Janeiro31020[[#This Row],[% ACUMULADO  1º Trimes 2026]]&lt;=Fluxo_de_Caixa_Janeiro31020[[#This Row],[% ACUMULADO  1º Trimes 2025]],"VERDADEIRO","FALSO")</f>
        <v>FALSO</v>
      </c>
      <c r="V146" s="516">
        <v>4997.07</v>
      </c>
      <c r="W146" s="590">
        <v>1.8573347940941103E-3</v>
      </c>
    </row>
    <row r="147" spans="2:23" x14ac:dyDescent="0.25">
      <c r="B147" s="55" t="str">
        <f>Fluxo_de_Caixa_Janeiro[[#This Row],[Fluxo de Caixa 2026 CTR]]</f>
        <v>3.4.02. Material Administrativo de Expediente</v>
      </c>
      <c r="C147" s="35">
        <f>Fluxo_de_Caixa_Janeiro[[#This Row],[Janeiro]]</f>
        <v>2000.05</v>
      </c>
      <c r="D147" s="62">
        <f>Fluxo_de_Caixa_Janeiro3[[#This Row],[Fevereiro]]</f>
        <v>499.11</v>
      </c>
      <c r="E147" s="62">
        <f>Fluxo_de_Caixa_Janeiro34[[#This Row],[Março]]</f>
        <v>1223.24</v>
      </c>
      <c r="F147" s="62"/>
      <c r="G147" s="62"/>
      <c r="H147" s="62"/>
      <c r="I147" s="35"/>
      <c r="J147" s="62"/>
      <c r="K147" s="62"/>
      <c r="L147" s="62"/>
      <c r="M147" s="62"/>
      <c r="N147" s="119"/>
      <c r="O147" s="224">
        <f>SUM(Fluxo_de_Caixa_Janeiro31020[[#This Row],[Janeiro]:[Dezembro]])</f>
        <v>3722.3999999999996</v>
      </c>
      <c r="P147" s="194">
        <f t="shared" si="9"/>
        <v>1.2943102321778159E-3</v>
      </c>
      <c r="Q147" s="317">
        <v>1.0001851213145996E-3</v>
      </c>
      <c r="R147" s="32" t="str">
        <f>IF(Fluxo_de_Caixa_Janeiro31020[[#This Row],[% ACUMULADO  1º Trimes 2026]]&lt;=Fluxo_de_Caixa_Janeiro31020[[#This Row],[% ACUMULADO  1º Trimes 2025]],"VERDADEIRO","FALSO")</f>
        <v>FALSO</v>
      </c>
      <c r="V147" s="516">
        <v>2690.95</v>
      </c>
      <c r="W147" s="590">
        <v>1.0001851213145996E-3</v>
      </c>
    </row>
    <row r="148" spans="2:23" x14ac:dyDescent="0.25">
      <c r="B148" s="55" t="str">
        <f>Fluxo_de_Caixa_Janeiro[[#This Row],[Fluxo de Caixa 2026 CTR]]</f>
        <v>3.4.03. Correios/Gollog/Latam Cargas</v>
      </c>
      <c r="C148" s="35">
        <f>Fluxo_de_Caixa_Janeiro[[#This Row],[Janeiro]]</f>
        <v>0</v>
      </c>
      <c r="D148" s="64">
        <f>Fluxo_de_Caixa_Janeiro3[[#This Row],[Fevereiro]]</f>
        <v>0</v>
      </c>
      <c r="E148" s="62">
        <f>Fluxo_de_Caixa_Janeiro34[[#This Row],[Março]]</f>
        <v>0</v>
      </c>
      <c r="F148" s="62"/>
      <c r="G148" s="62"/>
      <c r="H148" s="62"/>
      <c r="I148" s="35"/>
      <c r="J148" s="62"/>
      <c r="K148" s="62"/>
      <c r="L148" s="62"/>
      <c r="M148" s="62"/>
      <c r="N148" s="119"/>
      <c r="O148" s="224">
        <f>SUM(Fluxo_de_Caixa_Janeiro31020[[#This Row],[Janeiro]:[Dezembro]])</f>
        <v>0</v>
      </c>
      <c r="P148" s="194">
        <f t="shared" si="9"/>
        <v>0</v>
      </c>
      <c r="Q148" s="317">
        <v>2.6835640111824485E-3</v>
      </c>
      <c r="R148" s="32" t="str">
        <f>IF(Fluxo_de_Caixa_Janeiro31020[[#This Row],[% ACUMULADO  1º Trimes 2026]]&lt;=Fluxo_de_Caixa_Janeiro31020[[#This Row],[% ACUMULADO  1º Trimes 2025]],"VERDADEIRO","FALSO")</f>
        <v>VERDADEIRO</v>
      </c>
      <c r="V148" s="516">
        <v>7220</v>
      </c>
      <c r="W148" s="590">
        <v>2.6835640111824485E-3</v>
      </c>
    </row>
    <row r="149" spans="2:23" x14ac:dyDescent="0.25">
      <c r="B149" s="55" t="str">
        <f>Fluxo_de_Caixa_Janeiro[[#This Row],[Fluxo de Caixa 2026 CTR]]</f>
        <v>3.4.04. Cartório</v>
      </c>
      <c r="C149" s="35">
        <f>Fluxo_de_Caixa_Janeiro[[#This Row],[Janeiro]]</f>
        <v>0</v>
      </c>
      <c r="D149" s="62">
        <f>Fluxo_de_Caixa_Janeiro3[[#This Row],[Fevereiro]]</f>
        <v>0</v>
      </c>
      <c r="E149" s="62">
        <f>Fluxo_de_Caixa_Janeiro34[[#This Row],[Março]]</f>
        <v>2965.82</v>
      </c>
      <c r="F149" s="62"/>
      <c r="G149" s="62"/>
      <c r="H149" s="62"/>
      <c r="I149" s="35"/>
      <c r="J149" s="62"/>
      <c r="K149" s="62"/>
      <c r="L149" s="62"/>
      <c r="M149" s="62"/>
      <c r="N149" s="119"/>
      <c r="O149" s="224">
        <f>SUM(Fluxo_de_Caixa_Janeiro31020[[#This Row],[Janeiro]:[Dezembro]])</f>
        <v>2965.82</v>
      </c>
      <c r="P149" s="194">
        <f t="shared" si="9"/>
        <v>1.0312409125289089E-3</v>
      </c>
      <c r="Q149" s="317">
        <v>4.3895970875435892E-5</v>
      </c>
      <c r="R149" s="32" t="str">
        <f>IF(Fluxo_de_Caixa_Janeiro31020[[#This Row],[% ACUMULADO  1º Trimes 2026]]&lt;=Fluxo_de_Caixa_Janeiro31020[[#This Row],[% ACUMULADO  1º Trimes 2025]],"VERDADEIRO","FALSO")</f>
        <v>FALSO</v>
      </c>
      <c r="V149" s="516">
        <v>118.1</v>
      </c>
      <c r="W149" s="590">
        <v>4.3895970875435892E-5</v>
      </c>
    </row>
    <row r="150" spans="2:23" hidden="1" x14ac:dyDescent="0.25">
      <c r="B150" s="55">
        <f>Fluxo_de_Caixa_Janeiro[[#This Row],[Fluxo de Caixa 2026 CTR]]</f>
        <v>0</v>
      </c>
      <c r="C150" s="35">
        <f>Fluxo_de_Caixa_Janeiro[[#This Row],[Janeiro]]</f>
        <v>0</v>
      </c>
      <c r="D150" s="62">
        <f>Fluxo_de_Caixa_Janeiro3[[#This Row],[Fevereiro]]</f>
        <v>0</v>
      </c>
      <c r="E150" s="62">
        <f>Fluxo_de_Caixa_Janeiro34[[#This Row],[Março]]</f>
        <v>0</v>
      </c>
      <c r="F150" s="62"/>
      <c r="G150" s="62"/>
      <c r="H150" s="62"/>
      <c r="I150" s="35"/>
      <c r="J150" s="62"/>
      <c r="K150" s="62"/>
      <c r="L150" s="62"/>
      <c r="M150" s="62"/>
      <c r="N150" s="119"/>
      <c r="O150" s="224">
        <f>SUM(Fluxo_de_Caixa_Janeiro31020[[#This Row],[Janeiro]:[Dezembro]])</f>
        <v>0</v>
      </c>
      <c r="P150" s="194">
        <f t="shared" si="9"/>
        <v>0</v>
      </c>
      <c r="Q150" s="317">
        <v>0</v>
      </c>
      <c r="R150" s="32" t="str">
        <f>IF(Fluxo_de_Caixa_Janeiro31020[[#This Row],[% ACUMULADO  1º Trimes 2026]]&lt;=Fluxo_de_Caixa_Janeiro31020[[#This Row],[% ACUMULADO  1º Trimes 2025]],"VERDADEIRO","FALSO")</f>
        <v>VERDADEIRO</v>
      </c>
      <c r="V150" s="516">
        <v>0</v>
      </c>
      <c r="W150" s="590">
        <v>0</v>
      </c>
    </row>
    <row r="151" spans="2:23" x14ac:dyDescent="0.25">
      <c r="B151" s="55" t="str">
        <f>Fluxo_de_Caixa_Janeiro[[#This Row],[Fluxo de Caixa 2026 CTR]]</f>
        <v>3.4.06. Manutenção/ reforma/ reparos</v>
      </c>
      <c r="C151" s="35">
        <f>Fluxo_de_Caixa_Janeiro[[#This Row],[Janeiro]]</f>
        <v>0</v>
      </c>
      <c r="D151" s="62">
        <f>Fluxo_de_Caixa_Janeiro3[[#This Row],[Fevereiro]]</f>
        <v>2453.31</v>
      </c>
      <c r="E151" s="62">
        <f>Fluxo_de_Caixa_Janeiro34[[#This Row],[Março]]</f>
        <v>936.04</v>
      </c>
      <c r="F151" s="62"/>
      <c r="G151" s="62"/>
      <c r="H151" s="62"/>
      <c r="I151" s="35"/>
      <c r="J151" s="62"/>
      <c r="K151" s="62"/>
      <c r="L151" s="62"/>
      <c r="M151" s="62"/>
      <c r="N151" s="119"/>
      <c r="O151" s="224">
        <f>SUM(Fluxo_de_Caixa_Janeiro31020[[#This Row],[Janeiro]:[Dezembro]])</f>
        <v>3389.35</v>
      </c>
      <c r="P151" s="194">
        <f t="shared" si="9"/>
        <v>1.1785059062518484E-3</v>
      </c>
      <c r="Q151" s="317">
        <v>4.4006584261824791E-3</v>
      </c>
      <c r="R151" s="32" t="str">
        <f>IF(Fluxo_de_Caixa_Janeiro31020[[#This Row],[% ACUMULADO  1º Trimes 2026]]&lt;=Fluxo_de_Caixa_Janeiro31020[[#This Row],[% ACUMULADO  1º Trimes 2025]],"VERDADEIRO","FALSO")</f>
        <v>VERDADEIRO</v>
      </c>
      <c r="V151" s="516">
        <v>11839.759999999998</v>
      </c>
      <c r="W151" s="590">
        <v>4.4006584261824791E-3</v>
      </c>
    </row>
    <row r="152" spans="2:23" x14ac:dyDescent="0.25">
      <c r="B152" s="55" t="str">
        <f>Fluxo_de_Caixa_Janeiro[[#This Row],[Fluxo de Caixa 2026 CTR]]</f>
        <v>3.4.07. Diária de Prestador de Serviço</v>
      </c>
      <c r="C152" s="35">
        <f>Fluxo_de_Caixa_Janeiro[[#This Row],[Janeiro]]</f>
        <v>1450</v>
      </c>
      <c r="D152" s="62">
        <f>Fluxo_de_Caixa_Janeiro3[[#This Row],[Fevereiro]]</f>
        <v>2000</v>
      </c>
      <c r="E152" s="62">
        <f>Fluxo_de_Caixa_Janeiro34[[#This Row],[Março]]</f>
        <v>1470</v>
      </c>
      <c r="F152" s="62"/>
      <c r="G152" s="62"/>
      <c r="H152" s="62"/>
      <c r="I152" s="35"/>
      <c r="J152" s="62"/>
      <c r="K152" s="62"/>
      <c r="L152" s="62"/>
      <c r="M152" s="62"/>
      <c r="N152" s="119"/>
      <c r="O152" s="224">
        <f>SUM(Fluxo_de_Caixa_Janeiro31020[[#This Row],[Janeiro]:[Dezembro]])</f>
        <v>4920</v>
      </c>
      <c r="P152" s="194">
        <f t="shared" si="9"/>
        <v>1.71072596773986E-3</v>
      </c>
      <c r="Q152" s="317">
        <v>1.0016904446172713E-3</v>
      </c>
      <c r="R152" s="32" t="str">
        <f>IF(Fluxo_de_Caixa_Janeiro31020[[#This Row],[% ACUMULADO  1º Trimes 2026]]&lt;=Fluxo_de_Caixa_Janeiro31020[[#This Row],[% ACUMULADO  1º Trimes 2025]],"VERDADEIRO","FALSO")</f>
        <v>FALSO</v>
      </c>
      <c r="V152" s="516">
        <v>2695</v>
      </c>
      <c r="W152" s="590">
        <v>1.0016904446172713E-3</v>
      </c>
    </row>
    <row r="153" spans="2:23" x14ac:dyDescent="0.25">
      <c r="B153" s="169" t="str">
        <f>Fluxo_de_Caixa_Janeiro[[#This Row],[Fluxo de Caixa 2026 CTR]]</f>
        <v>3.4.08. Consultoria (RH/Empresarial/Contábil/Etc)</v>
      </c>
      <c r="C153" s="41">
        <f>Fluxo_de_Caixa_Janeiro[[#This Row],[Janeiro]]</f>
        <v>245</v>
      </c>
      <c r="D153" s="81">
        <f>Fluxo_de_Caixa_Janeiro3[[#This Row],[Fevereiro]]</f>
        <v>0</v>
      </c>
      <c r="E153" s="81">
        <f>Fluxo_de_Caixa_Janeiro34[[#This Row],[Março]]</f>
        <v>3192</v>
      </c>
      <c r="F153" s="81"/>
      <c r="G153" s="81"/>
      <c r="H153" s="81"/>
      <c r="I153" s="41"/>
      <c r="J153" s="81"/>
      <c r="K153" s="81"/>
      <c r="L153" s="81"/>
      <c r="M153" s="81"/>
      <c r="N153" s="118"/>
      <c r="O153" s="223">
        <f>SUM(Fluxo_de_Caixa_Janeiro31020[[#This Row],[Janeiro]:[Dezembro]])</f>
        <v>3437</v>
      </c>
      <c r="P153" s="193">
        <f t="shared" si="9"/>
        <v>1.195074217707703E-3</v>
      </c>
      <c r="Q153" s="547">
        <v>8.4929969051965304E-4</v>
      </c>
      <c r="R153" s="32" t="str">
        <f>IF(Fluxo_de_Caixa_Janeiro31020[[#This Row],[% ACUMULADO  1º Trimes 2026]]&lt;=Fluxo_de_Caixa_Janeiro31020[[#This Row],[% ACUMULADO  1º Trimes 2025]],"VERDADEIRO","FALSO")</f>
        <v>FALSO</v>
      </c>
      <c r="V153" s="515">
        <v>2285</v>
      </c>
      <c r="W153" s="589">
        <v>8.4929969051965304E-4</v>
      </c>
    </row>
    <row r="154" spans="2:23" x14ac:dyDescent="0.25">
      <c r="B154" s="55" t="str">
        <f>Fluxo_de_Caixa_Janeiro[[#This Row],[Fluxo de Caixa 2026 CTR]]</f>
        <v>3.4.09. Honorarios Advogado</v>
      </c>
      <c r="C154" s="35">
        <f>Fluxo_de_Caixa_Janeiro[[#This Row],[Janeiro]]</f>
        <v>0</v>
      </c>
      <c r="D154" s="62">
        <f>Fluxo_de_Caixa_Janeiro3[[#This Row],[Fevereiro]]</f>
        <v>6415.01</v>
      </c>
      <c r="E154" s="62">
        <f>Fluxo_de_Caixa_Janeiro34[[#This Row],[Março]]</f>
        <v>5642</v>
      </c>
      <c r="F154" s="62"/>
      <c r="G154" s="62"/>
      <c r="H154" s="62"/>
      <c r="I154" s="35"/>
      <c r="J154" s="62"/>
      <c r="K154" s="62"/>
      <c r="L154" s="62"/>
      <c r="M154" s="62"/>
      <c r="N154" s="119"/>
      <c r="O154" s="224">
        <f>SUM(Fluxo_de_Caixa_Janeiro31020[[#This Row],[Janeiro]:[Dezembro]])</f>
        <v>12057.01</v>
      </c>
      <c r="P154" s="194">
        <f t="shared" si="9"/>
        <v>4.1923252236380423E-3</v>
      </c>
      <c r="Q154" s="317">
        <v>0</v>
      </c>
      <c r="R154" s="32" t="str">
        <f>IF(Fluxo_de_Caixa_Janeiro31020[[#This Row],[% ACUMULADO  1º Trimes 2026]]&lt;=Fluxo_de_Caixa_Janeiro31020[[#This Row],[% ACUMULADO  1º Trimes 2025]],"VERDADEIRO","FALSO")</f>
        <v>FALSO</v>
      </c>
      <c r="V154" s="516">
        <v>0</v>
      </c>
      <c r="W154" s="590">
        <v>0</v>
      </c>
    </row>
    <row r="155" spans="2:23" x14ac:dyDescent="0.25">
      <c r="B155" s="55" t="str">
        <f>Fluxo_de_Caixa_Janeiro[[#This Row],[Fluxo de Caixa 2026 CTR]]</f>
        <v>3.4.10. Taxas Administrativas (Alvará de Funcio, taxas)</v>
      </c>
      <c r="C155" s="35">
        <f>Fluxo_de_Caixa_Janeiro[[#This Row],[Janeiro]]</f>
        <v>1618.05</v>
      </c>
      <c r="D155" s="62">
        <f>Fluxo_de_Caixa_Janeiro3[[#This Row],[Fevereiro]]</f>
        <v>0</v>
      </c>
      <c r="E155" s="62">
        <f>Fluxo_de_Caixa_Janeiro34[[#This Row],[Março]]</f>
        <v>734</v>
      </c>
      <c r="F155" s="62"/>
      <c r="G155" s="62"/>
      <c r="H155" s="62"/>
      <c r="I155" s="35"/>
      <c r="J155" s="62"/>
      <c r="K155" s="62"/>
      <c r="L155" s="62"/>
      <c r="M155" s="62"/>
      <c r="N155" s="119"/>
      <c r="O155" s="224">
        <f>SUM(Fluxo_de_Caixa_Janeiro31020[[#This Row],[Janeiro]:[Dezembro]])</f>
        <v>2352.0500000000002</v>
      </c>
      <c r="P155" s="194">
        <f t="shared" si="9"/>
        <v>8.178278480533614E-4</v>
      </c>
      <c r="Q155" s="317">
        <v>1.1571661822734512E-3</v>
      </c>
      <c r="R155" s="32" t="str">
        <f>IF(Fluxo_de_Caixa_Janeiro31020[[#This Row],[% ACUMULADO  1º Trimes 2026]]&lt;=Fluxo_de_Caixa_Janeiro31020[[#This Row],[% ACUMULADO  1º Trimes 2025]],"VERDADEIRO","FALSO")</f>
        <v>VERDADEIRO</v>
      </c>
      <c r="V155" s="516">
        <v>3113.3</v>
      </c>
      <c r="W155" s="590">
        <v>1.1571661822734512E-3</v>
      </c>
    </row>
    <row r="156" spans="2:23" x14ac:dyDescent="0.25">
      <c r="B156" s="55" t="str">
        <f>Fluxo_de_Caixa_Janeiro[[#This Row],[Fluxo de Caixa 2026 CTR]]</f>
        <v>3.4.11. Despesa com Processos Judiciais</v>
      </c>
      <c r="C156" s="35">
        <f>Fluxo_de_Caixa_Janeiro[[#This Row],[Janeiro]]</f>
        <v>0</v>
      </c>
      <c r="D156" s="62">
        <f>Fluxo_de_Caixa_Janeiro3[[#This Row],[Fevereiro]]</f>
        <v>0</v>
      </c>
      <c r="E156" s="62">
        <f>Fluxo_de_Caixa_Janeiro34[[#This Row],[Março]]</f>
        <v>0</v>
      </c>
      <c r="F156" s="62"/>
      <c r="G156" s="62"/>
      <c r="H156" s="62"/>
      <c r="I156" s="35"/>
      <c r="J156" s="62"/>
      <c r="K156" s="62"/>
      <c r="L156" s="62"/>
      <c r="M156" s="62"/>
      <c r="N156" s="119"/>
      <c r="O156" s="224">
        <f>SUM(Fluxo_de_Caixa_Janeiro31020[[#This Row],[Janeiro]:[Dezembro]])</f>
        <v>0</v>
      </c>
      <c r="P156" s="194">
        <f t="shared" si="9"/>
        <v>0</v>
      </c>
      <c r="Q156" s="317">
        <v>0</v>
      </c>
      <c r="R156" s="32" t="str">
        <f>IF(Fluxo_de_Caixa_Janeiro31020[[#This Row],[% ACUMULADO  1º Trimes 2026]]&lt;=Fluxo_de_Caixa_Janeiro31020[[#This Row],[% ACUMULADO  1º Trimes 2025]],"VERDADEIRO","FALSO")</f>
        <v>VERDADEIRO</v>
      </c>
      <c r="V156" s="516">
        <v>0</v>
      </c>
      <c r="W156" s="590">
        <v>0</v>
      </c>
    </row>
    <row r="157" spans="2:23" x14ac:dyDescent="0.25">
      <c r="B157" s="55" t="str">
        <f>Fluxo_de_Caixa_Janeiro[[#This Row],[Fluxo de Caixa 2026 CTR]]</f>
        <v xml:space="preserve">3.4.12. Equipe de Cobrança </v>
      </c>
      <c r="C157" s="35">
        <f>Fluxo_de_Caixa_Janeiro[[#This Row],[Janeiro]]</f>
        <v>0</v>
      </c>
      <c r="D157" s="62">
        <f>Fluxo_de_Caixa_Janeiro3[[#This Row],[Fevereiro]]</f>
        <v>0</v>
      </c>
      <c r="E157" s="62">
        <f>Fluxo_de_Caixa_Janeiro34[[#This Row],[Março]]</f>
        <v>0</v>
      </c>
      <c r="F157" s="62"/>
      <c r="G157" s="62"/>
      <c r="H157" s="62"/>
      <c r="I157" s="35"/>
      <c r="J157" s="62"/>
      <c r="K157" s="62"/>
      <c r="L157" s="62"/>
      <c r="M157" s="62"/>
      <c r="N157" s="119"/>
      <c r="O157" s="224">
        <f>SUM(Fluxo_de_Caixa_Janeiro31020[[#This Row],[Janeiro]:[Dezembro]])</f>
        <v>0</v>
      </c>
      <c r="P157" s="194">
        <f t="shared" si="9"/>
        <v>0</v>
      </c>
      <c r="Q157" s="317">
        <v>0</v>
      </c>
      <c r="R157" s="32" t="str">
        <f>IF(Fluxo_de_Caixa_Janeiro31020[[#This Row],[% ACUMULADO  1º Trimes 2026]]&lt;=Fluxo_de_Caixa_Janeiro31020[[#This Row],[% ACUMULADO  1º Trimes 2025]],"VERDADEIRO","FALSO")</f>
        <v>VERDADEIRO</v>
      </c>
      <c r="V157" s="516">
        <v>0</v>
      </c>
      <c r="W157" s="590">
        <v>0</v>
      </c>
    </row>
    <row r="158" spans="2:23" x14ac:dyDescent="0.25">
      <c r="B158" s="55" t="str">
        <f>Fluxo_de_Caixa_Janeiro[[#This Row],[Fluxo de Caixa 2026 CTR]]</f>
        <v>3.4.13. Seguradora Predial / Equipamento</v>
      </c>
      <c r="C158" s="35">
        <f>Fluxo_de_Caixa_Janeiro[[#This Row],[Janeiro]]</f>
        <v>601</v>
      </c>
      <c r="D158" s="62">
        <f>Fluxo_de_Caixa_Janeiro3[[#This Row],[Fevereiro]]</f>
        <v>601</v>
      </c>
      <c r="E158" s="62">
        <f>Fluxo_de_Caixa_Janeiro34[[#This Row],[Março]]</f>
        <v>601</v>
      </c>
      <c r="F158" s="62"/>
      <c r="G158" s="62"/>
      <c r="H158" s="62"/>
      <c r="I158" s="35"/>
      <c r="J158" s="62"/>
      <c r="K158" s="62"/>
      <c r="L158" s="62"/>
      <c r="M158" s="62"/>
      <c r="N158" s="119"/>
      <c r="O158" s="224">
        <f>SUM(Fluxo_de_Caixa_Janeiro31020[[#This Row],[Janeiro]:[Dezembro]])</f>
        <v>1803</v>
      </c>
      <c r="P158" s="194">
        <f t="shared" si="9"/>
        <v>6.2691847964125354E-4</v>
      </c>
      <c r="Q158" s="317">
        <v>0</v>
      </c>
      <c r="R158" s="32" t="str">
        <f>IF(Fluxo_de_Caixa_Janeiro31020[[#This Row],[% ACUMULADO  1º Trimes 2026]]&lt;=Fluxo_de_Caixa_Janeiro31020[[#This Row],[% ACUMULADO  1º Trimes 2025]],"VERDADEIRO","FALSO")</f>
        <v>FALSO</v>
      </c>
      <c r="V158" s="516">
        <v>0</v>
      </c>
      <c r="W158" s="590">
        <v>0</v>
      </c>
    </row>
    <row r="159" spans="2:23" x14ac:dyDescent="0.25">
      <c r="B159" s="55" t="str">
        <f>Fluxo_de_Caixa_Janeiro[[#This Row],[Fluxo de Caixa 2026 CTR]]</f>
        <v>3.4.14. Consulta de crédito SPC/Serasa</v>
      </c>
      <c r="C159" s="35">
        <f>Fluxo_de_Caixa_Janeiro[[#This Row],[Janeiro]]</f>
        <v>983.32</v>
      </c>
      <c r="D159" s="62">
        <f>Fluxo_de_Caixa_Janeiro3[[#This Row],[Fevereiro]]</f>
        <v>883.13</v>
      </c>
      <c r="E159" s="62">
        <f>Fluxo_de_Caixa_Janeiro34[[#This Row],[Março]]</f>
        <v>1161.4100000000001</v>
      </c>
      <c r="F159" s="62"/>
      <c r="G159" s="62"/>
      <c r="H159" s="62"/>
      <c r="I159" s="35"/>
      <c r="J159" s="62"/>
      <c r="K159" s="62"/>
      <c r="L159" s="62"/>
      <c r="M159" s="62"/>
      <c r="N159" s="119"/>
      <c r="O159" s="224">
        <f>SUM(Fluxo_de_Caixa_Janeiro31020[[#This Row],[Janeiro]:[Dezembro]])</f>
        <v>3027.86</v>
      </c>
      <c r="P159" s="194">
        <f t="shared" si="9"/>
        <v>1.0528127497318725E-3</v>
      </c>
      <c r="Q159" s="317">
        <v>4.6095229636400792E-4</v>
      </c>
      <c r="R159" s="32" t="str">
        <f>IF(Fluxo_de_Caixa_Janeiro31020[[#This Row],[% ACUMULADO  1º Trimes 2026]]&lt;=Fluxo_de_Caixa_Janeiro31020[[#This Row],[% ACUMULADO  1º Trimes 2025]],"VERDADEIRO","FALSO")</f>
        <v>FALSO</v>
      </c>
      <c r="V159" s="516">
        <v>1240.17</v>
      </c>
      <c r="W159" s="590">
        <v>4.6095229636400792E-4</v>
      </c>
    </row>
    <row r="160" spans="2:23" x14ac:dyDescent="0.25">
      <c r="B160" s="55" t="str">
        <f>Fluxo_de_Caixa_Janeiro[[#This Row],[Fluxo de Caixa 2026 CTR]]</f>
        <v>3.4.15. Frete Compra de Material Uso e Consumo</v>
      </c>
      <c r="C160" s="35">
        <f>Fluxo_de_Caixa_Janeiro[[#This Row],[Janeiro]]</f>
        <v>0</v>
      </c>
      <c r="D160" s="62">
        <f>Fluxo_de_Caixa_Janeiro3[[#This Row],[Fevereiro]]</f>
        <v>0</v>
      </c>
      <c r="E160" s="62">
        <f>Fluxo_de_Caixa_Janeiro34[[#This Row],[Março]]</f>
        <v>0</v>
      </c>
      <c r="F160" s="62"/>
      <c r="G160" s="62"/>
      <c r="H160" s="62"/>
      <c r="I160" s="35"/>
      <c r="J160" s="62"/>
      <c r="K160" s="62"/>
      <c r="L160" s="62"/>
      <c r="M160" s="62"/>
      <c r="N160" s="397"/>
      <c r="O160" s="224">
        <f>SUM(Fluxo_de_Caixa_Janeiro31020[[#This Row],[Janeiro]:[Dezembro]])</f>
        <v>0</v>
      </c>
      <c r="P160" s="194">
        <f t="shared" si="9"/>
        <v>0</v>
      </c>
      <c r="Q160" s="317">
        <v>7.4336953218350372E-6</v>
      </c>
      <c r="R160" s="32" t="str">
        <f>IF(Fluxo_de_Caixa_Janeiro31020[[#This Row],[% ACUMULADO  1º Trimes 2026]]&lt;=Fluxo_de_Caixa_Janeiro31020[[#This Row],[% ACUMULADO  1º Trimes 2025]],"VERDADEIRO","FALSO")</f>
        <v>VERDADEIRO</v>
      </c>
      <c r="V160" s="516">
        <v>20</v>
      </c>
      <c r="W160" s="590">
        <v>7.4336953218350372E-6</v>
      </c>
    </row>
    <row r="161" spans="1:23" x14ac:dyDescent="0.25">
      <c r="B161" s="55" t="str">
        <f>Fluxo_de_Caixa_Janeiro[[#This Row],[Fluxo de Caixa 2026 CTR]]</f>
        <v xml:space="preserve">3.4.16. Pro labore </v>
      </c>
      <c r="C161" s="35">
        <f>Fluxo_de_Caixa_Janeiro[[#This Row],[Janeiro]]</f>
        <v>25936</v>
      </c>
      <c r="D161" s="62">
        <f>Fluxo_de_Caixa_Janeiro3[[#This Row],[Fevereiro]]</f>
        <v>23234.33</v>
      </c>
      <c r="E161" s="62">
        <f>Fluxo_de_Caixa_Janeiro34[[#This Row],[Março]]</f>
        <v>17831</v>
      </c>
      <c r="F161" s="62"/>
      <c r="G161" s="62"/>
      <c r="H161" s="62"/>
      <c r="I161" s="35"/>
      <c r="J161" s="62"/>
      <c r="K161" s="62"/>
      <c r="L161" s="62"/>
      <c r="M161" s="62"/>
      <c r="N161" s="119"/>
      <c r="O161" s="224">
        <f>SUM(Fluxo_de_Caixa_Janeiro31020[[#This Row],[Janeiro]:[Dezembro]])</f>
        <v>67001.33</v>
      </c>
      <c r="P161" s="194">
        <f t="shared" si="9"/>
        <v>2.3296933964249537E-2</v>
      </c>
      <c r="Q161" s="317">
        <v>3.451891060354715E-2</v>
      </c>
      <c r="R161" s="32" t="str">
        <f>IF(Fluxo_de_Caixa_Janeiro31020[[#This Row],[% ACUMULADO  1º Trimes 2026]]&lt;=Fluxo_de_Caixa_Janeiro31020[[#This Row],[% ACUMULADO  1º Trimes 2025]],"VERDADEIRO","FALSO")</f>
        <v>VERDADEIRO</v>
      </c>
      <c r="V161" s="516">
        <v>92871.47</v>
      </c>
      <c r="W161" s="590">
        <v>3.451891060354715E-2</v>
      </c>
    </row>
    <row r="162" spans="1:23" x14ac:dyDescent="0.25">
      <c r="B162" s="55" t="str">
        <f>Fluxo_de_Caixa_Janeiro[[#This Row],[Fluxo de Caixa 2026 CTR]]</f>
        <v>3.4.17. Multas Administrativas e trabalhistas</v>
      </c>
      <c r="C162" s="35">
        <f>Fluxo_de_Caixa_Janeiro[[#This Row],[Janeiro]]</f>
        <v>0</v>
      </c>
      <c r="D162" s="62">
        <f>Fluxo_de_Caixa_Janeiro3[[#This Row],[Fevereiro]]</f>
        <v>0</v>
      </c>
      <c r="E162" s="62">
        <f>Fluxo_de_Caixa_Janeiro34[[#This Row],[Março]]</f>
        <v>0</v>
      </c>
      <c r="F162" s="62"/>
      <c r="G162" s="62"/>
      <c r="H162" s="62"/>
      <c r="I162" s="35"/>
      <c r="J162" s="62"/>
      <c r="K162" s="62"/>
      <c r="L162" s="62"/>
      <c r="M162" s="62"/>
      <c r="N162" s="119"/>
      <c r="O162" s="224">
        <f>SUM(Fluxo_de_Caixa_Janeiro31020[[#This Row],[Janeiro]:[Dezembro]])</f>
        <v>0</v>
      </c>
      <c r="P162" s="194">
        <f t="shared" si="9"/>
        <v>0</v>
      </c>
      <c r="Q162" s="317">
        <v>0</v>
      </c>
      <c r="R162" s="32" t="str">
        <f>IF(Fluxo_de_Caixa_Janeiro31020[[#This Row],[% ACUMULADO  1º Trimes 2026]]&lt;=Fluxo_de_Caixa_Janeiro31020[[#This Row],[% ACUMULADO  1º Trimes 2025]],"VERDADEIRO","FALSO")</f>
        <v>VERDADEIRO</v>
      </c>
      <c r="V162" s="516">
        <v>0</v>
      </c>
      <c r="W162" s="590">
        <v>0</v>
      </c>
    </row>
    <row r="163" spans="1:23" x14ac:dyDescent="0.25">
      <c r="B163" s="55" t="str">
        <f>Fluxo_de_Caixa_Janeiro[[#This Row],[Fluxo de Caixa 2026 CTR]]</f>
        <v>3.4.18. Seguro Prestamista - Variavel (Emprestimo)</v>
      </c>
      <c r="C163" s="35">
        <f>Fluxo_de_Caixa_Janeiro[[#This Row],[Janeiro]]</f>
        <v>0</v>
      </c>
      <c r="D163" s="62">
        <f>Fluxo_de_Caixa_Janeiro3[[#This Row],[Fevereiro]]</f>
        <v>0</v>
      </c>
      <c r="E163" s="62">
        <f>Fluxo_de_Caixa_Janeiro34[[#This Row],[Março]]</f>
        <v>0</v>
      </c>
      <c r="F163" s="62"/>
      <c r="G163" s="62"/>
      <c r="H163" s="62"/>
      <c r="I163" s="35"/>
      <c r="J163" s="62"/>
      <c r="K163" s="62"/>
      <c r="L163" s="62"/>
      <c r="M163" s="62"/>
      <c r="N163" s="119"/>
      <c r="O163" s="224">
        <f>SUM(Fluxo_de_Caixa_Janeiro31020[[#This Row],[Janeiro]:[Dezembro]])</f>
        <v>0</v>
      </c>
      <c r="P163" s="194">
        <f t="shared" si="9"/>
        <v>0</v>
      </c>
      <c r="Q163" s="317">
        <v>0</v>
      </c>
      <c r="R163" s="32" t="str">
        <f>IF(Fluxo_de_Caixa_Janeiro31020[[#This Row],[% ACUMULADO  1º Trimes 2026]]&lt;=Fluxo_de_Caixa_Janeiro31020[[#This Row],[% ACUMULADO  1º Trimes 2025]],"VERDADEIRO","FALSO")</f>
        <v>VERDADEIRO</v>
      </c>
      <c r="V163" s="516">
        <v>0</v>
      </c>
      <c r="W163" s="590">
        <v>0</v>
      </c>
    </row>
    <row r="164" spans="1:23" x14ac:dyDescent="0.25">
      <c r="B164" s="55" t="str">
        <f>Fluxo_de_Caixa_Janeiro[[#This Row],[Fluxo de Caixa 2026 CTR]]</f>
        <v>3.4.19. Contribuições e Doações</v>
      </c>
      <c r="C164" s="35">
        <f>Fluxo_de_Caixa_Janeiro[[#This Row],[Janeiro]]</f>
        <v>0</v>
      </c>
      <c r="D164" s="62">
        <f>Fluxo_de_Caixa_Janeiro3[[#This Row],[Fevereiro]]</f>
        <v>0</v>
      </c>
      <c r="E164" s="62">
        <f>Fluxo_de_Caixa_Janeiro34[[#This Row],[Março]]</f>
        <v>0</v>
      </c>
      <c r="F164" s="62"/>
      <c r="G164" s="62"/>
      <c r="H164" s="62"/>
      <c r="I164" s="35"/>
      <c r="J164" s="62"/>
      <c r="K164" s="62"/>
      <c r="L164" s="62"/>
      <c r="M164" s="62"/>
      <c r="N164" s="119"/>
      <c r="O164" s="224">
        <f>SUM(Fluxo_de_Caixa_Janeiro31020[[#This Row],[Janeiro]:[Dezembro]])</f>
        <v>0</v>
      </c>
      <c r="P164" s="194">
        <f t="shared" si="9"/>
        <v>0</v>
      </c>
      <c r="Q164" s="317">
        <v>0</v>
      </c>
      <c r="R164" s="32" t="str">
        <f>IF(Fluxo_de_Caixa_Janeiro31020[[#This Row],[% ACUMULADO  1º Trimes 2026]]&lt;=Fluxo_de_Caixa_Janeiro31020[[#This Row],[% ACUMULADO  1º Trimes 2025]],"VERDADEIRO","FALSO")</f>
        <v>VERDADEIRO</v>
      </c>
      <c r="V164" s="516">
        <v>0</v>
      </c>
      <c r="W164" s="590">
        <v>0</v>
      </c>
    </row>
    <row r="165" spans="1:23" ht="15.75" thickBot="1" x14ac:dyDescent="0.3">
      <c r="B165" s="55" t="str">
        <f>Fluxo_de_Caixa_Janeiro[[#This Row],[Fluxo de Caixa 2026 CTR]]</f>
        <v>3.4.20. Aquisi. Equipam. ADM não Imobilizavel</v>
      </c>
      <c r="C165" s="35">
        <f>Fluxo_de_Caixa_Janeiro[[#This Row],[Janeiro]]</f>
        <v>0</v>
      </c>
      <c r="D165" s="62">
        <f>Fluxo_de_Caixa_Janeiro3[[#This Row],[Fevereiro]]</f>
        <v>64.98</v>
      </c>
      <c r="E165" s="62">
        <f>Fluxo_de_Caixa_Janeiro34[[#This Row],[Março]]</f>
        <v>0</v>
      </c>
      <c r="F165" s="62"/>
      <c r="G165" s="62"/>
      <c r="H165" s="62"/>
      <c r="I165" s="35"/>
      <c r="J165" s="62"/>
      <c r="K165" s="62"/>
      <c r="L165" s="62"/>
      <c r="M165" s="62"/>
      <c r="N165" s="119"/>
      <c r="O165" s="224">
        <f>SUM(Fluxo_de_Caixa_Janeiro31020[[#This Row],[Janeiro]:[Dezembro]])</f>
        <v>64.98</v>
      </c>
      <c r="P165" s="194">
        <f>IFERROR(O165/$O$27,"0,00%")</f>
        <v>2.2594100281247178E-5</v>
      </c>
      <c r="Q165" s="317">
        <v>8.9204343862020446E-6</v>
      </c>
      <c r="R165" s="32" t="str">
        <f>IF(Fluxo_de_Caixa_Janeiro31020[[#This Row],[% ACUMULADO  1º Trimes 2026]]&lt;=Fluxo_de_Caixa_Janeiro31020[[#This Row],[% ACUMULADO  1º Trimes 2025]],"VERDADEIRO","FALSO")</f>
        <v>FALSO</v>
      </c>
      <c r="V165" s="516">
        <v>24</v>
      </c>
      <c r="W165" s="590">
        <v>8.9204343862020446E-6</v>
      </c>
    </row>
    <row r="166" spans="1:23" ht="15.75" hidden="1" thickBot="1" x14ac:dyDescent="0.3">
      <c r="B166" s="276">
        <f>Fluxo_de_Caixa_Janeiro[[#This Row],[Fluxo de Caixa 2026 CTR]]</f>
        <v>0</v>
      </c>
      <c r="C166" s="36">
        <f>Fluxo_de_Caixa_Janeiro[[#This Row],[Janeiro]]</f>
        <v>0</v>
      </c>
      <c r="D166" s="82">
        <f>Fluxo_de_Caixa_Janeiro3[[#This Row],[Fevereiro]]</f>
        <v>0</v>
      </c>
      <c r="E166" s="82">
        <f>Fluxo_de_Caixa_Janeiro34[[#This Row],[Março]]</f>
        <v>0</v>
      </c>
      <c r="F166" s="82"/>
      <c r="G166" s="82"/>
      <c r="H166" s="82"/>
      <c r="I166" s="36"/>
      <c r="J166" s="82"/>
      <c r="K166" s="82"/>
      <c r="L166" s="82"/>
      <c r="M166" s="82"/>
      <c r="N166" s="120"/>
      <c r="O166" s="225">
        <f>SUM(Fluxo_de_Caixa_Janeiro31020[[#This Row],[Janeiro]:[Dezembro]])</f>
        <v>0</v>
      </c>
      <c r="P166" s="195">
        <f t="shared" si="9"/>
        <v>0</v>
      </c>
      <c r="Q166" s="548">
        <v>0</v>
      </c>
      <c r="R166" s="32" t="str">
        <f>IF(Fluxo_de_Caixa_Janeiro31020[[#This Row],[% ACUMULADO  1º Trimes 2026]]&lt;=Fluxo_de_Caixa_Janeiro31020[[#This Row],[% ACUMULADO  1º Trimes 2025]],"VERDADEIRO","FALSO")</f>
        <v>VERDADEIRO</v>
      </c>
      <c r="V166" s="517">
        <v>0</v>
      </c>
      <c r="W166" s="591">
        <v>0</v>
      </c>
    </row>
    <row r="167" spans="1:23" ht="19.5" thickBot="1" x14ac:dyDescent="0.35">
      <c r="A167" s="15" t="s">
        <v>6</v>
      </c>
      <c r="B167" s="168" t="str">
        <f>Fluxo_de_Caixa_Janeiro[[#This Row],[Fluxo de Caixa 2026 CTR]]</f>
        <v>3.5. DESPESAS FIXAS</v>
      </c>
      <c r="C167" s="158">
        <f>Fluxo_de_Caixa_Janeiro[[#This Row],[Janeiro]]</f>
        <v>-33111.79</v>
      </c>
      <c r="D167" s="97">
        <f>Fluxo_de_Caixa_Janeiro3[[#This Row],[Fevereiro]]</f>
        <v>-32358.45</v>
      </c>
      <c r="E167" s="97">
        <f>Fluxo_de_Caixa_Janeiro34[[#This Row],[Março]]</f>
        <v>-33970.92</v>
      </c>
      <c r="F167" s="97"/>
      <c r="G167" s="97"/>
      <c r="H167" s="97"/>
      <c r="I167" s="158"/>
      <c r="J167" s="97"/>
      <c r="K167" s="97"/>
      <c r="L167" s="97"/>
      <c r="M167" s="97"/>
      <c r="N167" s="129"/>
      <c r="O167" s="226">
        <f>SUM(Fluxo_de_Caixa_Janeiro31020[[#This Row],[Janeiro]:[Dezembro]])</f>
        <v>-99441.16</v>
      </c>
      <c r="P167" s="144">
        <f>-IFERROR(O167/$O$27,"0,00")</f>
        <v>3.4576539567921602E-2</v>
      </c>
      <c r="Q167" s="549">
        <v>3.0259432918916956E-2</v>
      </c>
      <c r="R167" s="32" t="str">
        <f>IF(Fluxo_de_Caixa_Janeiro31020[[#This Row],[% ACUMULADO  1º Trimes 2026]]&lt;=Fluxo_de_Caixa_Janeiro31020[[#This Row],[% ACUMULADO  1º Trimes 2025]],"VERDADEIRO","FALSO")</f>
        <v>FALSO</v>
      </c>
      <c r="S167" s="659"/>
      <c r="V167" s="518">
        <v>-81411.549999999988</v>
      </c>
      <c r="W167" s="592">
        <v>3.0259432918916956E-2</v>
      </c>
    </row>
    <row r="168" spans="1:23" x14ac:dyDescent="0.25">
      <c r="B168" s="169" t="str">
        <f>Fluxo_de_Caixa_Janeiro[[#This Row],[Fluxo de Caixa 2026 CTR]]</f>
        <v>3.5.01. Conta de Água</v>
      </c>
      <c r="C168" s="41">
        <f>Fluxo_de_Caixa_Janeiro[[#This Row],[Janeiro]]</f>
        <v>384.61</v>
      </c>
      <c r="D168" s="81">
        <f>Fluxo_de_Caixa_Janeiro3[[#This Row],[Fevereiro]]</f>
        <v>340.34</v>
      </c>
      <c r="E168" s="81">
        <f>Fluxo_de_Caixa_Janeiro34[[#This Row],[Março]]</f>
        <v>341.88</v>
      </c>
      <c r="F168" s="81"/>
      <c r="G168" s="81"/>
      <c r="H168" s="81"/>
      <c r="I168" s="41"/>
      <c r="J168" s="81"/>
      <c r="K168" s="81"/>
      <c r="L168" s="81"/>
      <c r="M168" s="81"/>
      <c r="N168" s="118"/>
      <c r="O168" s="223">
        <f>SUM(Fluxo_de_Caixa_Janeiro31020[[#This Row],[Janeiro]:[Dezembro]])</f>
        <v>1066.83</v>
      </c>
      <c r="P168" s="193">
        <f t="shared" ref="P168:P181" si="10">IFERROR(O168/$O$27,"0,00%")</f>
        <v>3.7094589109022658E-4</v>
      </c>
      <c r="Q168" s="547">
        <v>5.4874052126721888E-4</v>
      </c>
      <c r="R168" s="32" t="str">
        <f>IF(Fluxo_de_Caixa_Janeiro31020[[#This Row],[% ACUMULADO  1º Trimes 2026]]&lt;=Fluxo_de_Caixa_Janeiro31020[[#This Row],[% ACUMULADO  1º Trimes 2025]],"VERDADEIRO","FALSO")</f>
        <v>VERDADEIRO</v>
      </c>
      <c r="V168" s="515">
        <v>1476.3600000000001</v>
      </c>
      <c r="W168" s="589">
        <v>5.4874052126721888E-4</v>
      </c>
    </row>
    <row r="169" spans="1:23" x14ac:dyDescent="0.25">
      <c r="B169" s="55" t="str">
        <f>Fluxo_de_Caixa_Janeiro[[#This Row],[Fluxo de Caixa 2026 CTR]]</f>
        <v xml:space="preserve">3.5.02. Conta de Energia </v>
      </c>
      <c r="C169" s="35">
        <f>Fluxo_de_Caixa_Janeiro[[#This Row],[Janeiro]]</f>
        <v>5592.25</v>
      </c>
      <c r="D169" s="62">
        <f>Fluxo_de_Caixa_Janeiro3[[#This Row],[Fevereiro]]</f>
        <v>2796.16</v>
      </c>
      <c r="E169" s="62">
        <f>Fluxo_de_Caixa_Janeiro34[[#This Row],[Março]]</f>
        <v>4043.81</v>
      </c>
      <c r="F169" s="62"/>
      <c r="G169" s="62"/>
      <c r="H169" s="62"/>
      <c r="I169" s="35"/>
      <c r="J169" s="62"/>
      <c r="K169" s="62"/>
      <c r="L169" s="62"/>
      <c r="M169" s="62"/>
      <c r="N169" s="119"/>
      <c r="O169" s="224">
        <f>SUM(Fluxo_de_Caixa_Janeiro31020[[#This Row],[Janeiro]:[Dezembro]])</f>
        <v>12432.22</v>
      </c>
      <c r="P169" s="194">
        <f t="shared" si="10"/>
        <v>4.322788941190008E-3</v>
      </c>
      <c r="Q169" s="317">
        <v>3.823996945286449E-3</v>
      </c>
      <c r="R169" s="32" t="str">
        <f>IF(Fluxo_de_Caixa_Janeiro31020[[#This Row],[% ACUMULADO  1º Trimes 2026]]&lt;=Fluxo_de_Caixa_Janeiro31020[[#This Row],[% ACUMULADO  1º Trimes 2025]],"VERDADEIRO","FALSO")</f>
        <v>FALSO</v>
      </c>
      <c r="V169" s="516">
        <v>10288.280000000001</v>
      </c>
      <c r="W169" s="590">
        <v>3.823996945286449E-3</v>
      </c>
    </row>
    <row r="170" spans="1:23" x14ac:dyDescent="0.25">
      <c r="B170" s="55" t="str">
        <f>Fluxo_de_Caixa_Janeiro[[#This Row],[Fluxo de Caixa 2026 CTR]]</f>
        <v>3.5.03. Conta de Telefone Fixo/Internet</v>
      </c>
      <c r="C170" s="35">
        <f>Fluxo_de_Caixa_Janeiro[[#This Row],[Janeiro]]</f>
        <v>928.7</v>
      </c>
      <c r="D170" s="62">
        <f>Fluxo_de_Caixa_Janeiro3[[#This Row],[Fevereiro]]</f>
        <v>928.7</v>
      </c>
      <c r="E170" s="62">
        <f>Fluxo_de_Caixa_Janeiro34[[#This Row],[Março]]</f>
        <v>928.7</v>
      </c>
      <c r="F170" s="62"/>
      <c r="G170" s="62"/>
      <c r="H170" s="62"/>
      <c r="I170" s="35"/>
      <c r="J170" s="62"/>
      <c r="K170" s="62"/>
      <c r="L170" s="62"/>
      <c r="M170" s="62"/>
      <c r="N170" s="119"/>
      <c r="O170" s="224">
        <f>SUM(Fluxo_de_Caixa_Janeiro31020[[#This Row],[Janeiro]:[Dezembro]])</f>
        <v>2786.1000000000004</v>
      </c>
      <c r="P170" s="194">
        <f t="shared" si="10"/>
        <v>9.6875073551220007E-4</v>
      </c>
      <c r="Q170" s="317">
        <v>1.1188566334323741E-3</v>
      </c>
      <c r="R170" s="32" t="str">
        <f>IF(Fluxo_de_Caixa_Janeiro31020[[#This Row],[% ACUMULADO  1º Trimes 2026]]&lt;=Fluxo_de_Caixa_Janeiro31020[[#This Row],[% ACUMULADO  1º Trimes 2025]],"VERDADEIRO","FALSO")</f>
        <v>VERDADEIRO</v>
      </c>
      <c r="V170" s="516">
        <v>3010.23</v>
      </c>
      <c r="W170" s="590">
        <v>1.1188566334323741E-3</v>
      </c>
    </row>
    <row r="171" spans="1:23" x14ac:dyDescent="0.25">
      <c r="B171" s="55" t="str">
        <f>Fluxo_de_Caixa_Janeiro[[#This Row],[Fluxo de Caixa 2026 CTR]]</f>
        <v>3.5.04. Conta de Celular</v>
      </c>
      <c r="C171" s="35">
        <f>Fluxo_de_Caixa_Janeiro[[#This Row],[Janeiro]]</f>
        <v>918.23</v>
      </c>
      <c r="D171" s="62">
        <f>Fluxo_de_Caixa_Janeiro3[[#This Row],[Fevereiro]]</f>
        <v>423.25</v>
      </c>
      <c r="E171" s="62">
        <f>Fluxo_de_Caixa_Janeiro34[[#This Row],[Março]]</f>
        <v>449.91</v>
      </c>
      <c r="F171" s="62"/>
      <c r="G171" s="62"/>
      <c r="H171" s="62"/>
      <c r="I171" s="35"/>
      <c r="J171" s="62"/>
      <c r="K171" s="62"/>
      <c r="L171" s="62"/>
      <c r="M171" s="62"/>
      <c r="N171" s="119"/>
      <c r="O171" s="224">
        <f>SUM(Fluxo_de_Caixa_Janeiro31020[[#This Row],[Janeiro]:[Dezembro]])</f>
        <v>1791.39</v>
      </c>
      <c r="P171" s="194">
        <f t="shared" si="10"/>
        <v>6.2288158360762353E-4</v>
      </c>
      <c r="Q171" s="317">
        <v>9.2352513830817588E-5</v>
      </c>
      <c r="R171" s="32" t="str">
        <f>IF(Fluxo_de_Caixa_Janeiro31020[[#This Row],[% ACUMULADO  1º Trimes 2026]]&lt;=Fluxo_de_Caixa_Janeiro31020[[#This Row],[% ACUMULADO  1º Trimes 2025]],"VERDADEIRO","FALSO")</f>
        <v>FALSO</v>
      </c>
      <c r="V171" s="516">
        <v>248.47</v>
      </c>
      <c r="W171" s="590">
        <v>9.2352513830817588E-5</v>
      </c>
    </row>
    <row r="172" spans="1:23" x14ac:dyDescent="0.25">
      <c r="B172" s="55" t="str">
        <f>Fluxo_de_Caixa_Janeiro[[#This Row],[Fluxo de Caixa 2026 CTR]]</f>
        <v>3.5.05. Aluguel Predial</v>
      </c>
      <c r="C172" s="35">
        <f>Fluxo_de_Caixa_Janeiro[[#This Row],[Janeiro]]</f>
        <v>18400</v>
      </c>
      <c r="D172" s="62">
        <f>Fluxo_de_Caixa_Janeiro3[[#This Row],[Fevereiro]]</f>
        <v>18200</v>
      </c>
      <c r="E172" s="62">
        <f>Fluxo_de_Caixa_Janeiro34[[#This Row],[Março]]</f>
        <v>18200</v>
      </c>
      <c r="F172" s="62"/>
      <c r="G172" s="62"/>
      <c r="H172" s="62"/>
      <c r="I172" s="35"/>
      <c r="J172" s="62"/>
      <c r="K172" s="62"/>
      <c r="L172" s="62"/>
      <c r="M172" s="62"/>
      <c r="N172" s="119"/>
      <c r="O172" s="224">
        <f>SUM(Fluxo_de_Caixa_Janeiro31020[[#This Row],[Janeiro]:[Dezembro]])</f>
        <v>54800</v>
      </c>
      <c r="P172" s="657">
        <f t="shared" si="10"/>
        <v>1.9054427445557791E-2</v>
      </c>
      <c r="Q172" s="317">
        <v>1.7510270040356119E-2</v>
      </c>
      <c r="R172" s="32" t="str">
        <f>IF(Fluxo_de_Caixa_Janeiro31020[[#This Row],[% ACUMULADO  1º Trimes 2026]]&lt;=Fluxo_de_Caixa_Janeiro31020[[#This Row],[% ACUMULADO  1º Trimes 2025]],"VERDADEIRO","FALSO")</f>
        <v>FALSO</v>
      </c>
      <c r="V172" s="516">
        <v>47110.54</v>
      </c>
      <c r="W172" s="590">
        <v>1.7510270040356119E-2</v>
      </c>
    </row>
    <row r="173" spans="1:23" x14ac:dyDescent="0.25">
      <c r="B173" s="55" t="str">
        <f>Fluxo_de_Caixa_Janeiro[[#This Row],[Fluxo de Caixa 2026 CTR]]</f>
        <v>3.5.06. Aluguel Maquina de Cartão</v>
      </c>
      <c r="C173" s="35">
        <f>Fluxo_de_Caixa_Janeiro[[#This Row],[Janeiro]]</f>
        <v>0</v>
      </c>
      <c r="D173" s="62">
        <f>Fluxo_de_Caixa_Janeiro3[[#This Row],[Fevereiro]]</f>
        <v>0</v>
      </c>
      <c r="E173" s="62">
        <f>Fluxo_de_Caixa_Janeiro34[[#This Row],[Março]]</f>
        <v>0</v>
      </c>
      <c r="F173" s="62"/>
      <c r="G173" s="62"/>
      <c r="H173" s="62"/>
      <c r="I173" s="35"/>
      <c r="J173" s="62"/>
      <c r="K173" s="62"/>
      <c r="L173" s="62"/>
      <c r="M173" s="62"/>
      <c r="N173" s="119"/>
      <c r="O173" s="224">
        <f>SUM(Fluxo_de_Caixa_Janeiro31020[[#This Row],[Janeiro]:[Dezembro]])</f>
        <v>0</v>
      </c>
      <c r="P173" s="194">
        <f t="shared" si="10"/>
        <v>0</v>
      </c>
      <c r="Q173" s="317">
        <v>0</v>
      </c>
      <c r="R173" s="32" t="str">
        <f>IF(Fluxo_de_Caixa_Janeiro31020[[#This Row],[% ACUMULADO  1º Trimes 2026]]&lt;=Fluxo_de_Caixa_Janeiro31020[[#This Row],[% ACUMULADO  1º Trimes 2025]],"VERDADEIRO","FALSO")</f>
        <v>VERDADEIRO</v>
      </c>
      <c r="V173" s="516">
        <v>0</v>
      </c>
      <c r="W173" s="590">
        <v>0</v>
      </c>
    </row>
    <row r="174" spans="1:23" x14ac:dyDescent="0.25">
      <c r="B174" s="169" t="str">
        <f>Fluxo_de_Caixa_Janeiro[[#This Row],[Fluxo de Caixa 2026 CTR]]</f>
        <v>3.5.07. Empresa de Vigilância e Monitoramento</v>
      </c>
      <c r="C174" s="41">
        <f>Fluxo_de_Caixa_Janeiro[[#This Row],[Janeiro]]</f>
        <v>670</v>
      </c>
      <c r="D174" s="81">
        <f>Fluxo_de_Caixa_Janeiro3[[#This Row],[Fevereiro]]</f>
        <v>670</v>
      </c>
      <c r="E174" s="81">
        <f>Fluxo_de_Caixa_Janeiro34[[#This Row],[Março]]</f>
        <v>1006.62</v>
      </c>
      <c r="F174" s="81"/>
      <c r="G174" s="81"/>
      <c r="H174" s="81"/>
      <c r="I174" s="41"/>
      <c r="J174" s="81"/>
      <c r="K174" s="81"/>
      <c r="L174" s="81"/>
      <c r="M174" s="81"/>
      <c r="N174" s="118"/>
      <c r="O174" s="223">
        <f>SUM(Fluxo_de_Caixa_Janeiro31020[[#This Row],[Janeiro]:[Dezembro]])</f>
        <v>2346.62</v>
      </c>
      <c r="P174" s="193">
        <f t="shared" si="10"/>
        <v>8.1593979073530689E-4</v>
      </c>
      <c r="Q174" s="547">
        <v>4.9867830012232078E-4</v>
      </c>
      <c r="R174" s="32" t="str">
        <f>IF(Fluxo_de_Caixa_Janeiro31020[[#This Row],[% ACUMULADO  1º Trimes 2026]]&lt;=Fluxo_de_Caixa_Janeiro31020[[#This Row],[% ACUMULADO  1º Trimes 2025]],"VERDADEIRO","FALSO")</f>
        <v>FALSO</v>
      </c>
      <c r="V174" s="515">
        <v>1341.67</v>
      </c>
      <c r="W174" s="589">
        <v>4.9867830012232078E-4</v>
      </c>
    </row>
    <row r="175" spans="1:23" hidden="1" x14ac:dyDescent="0.25">
      <c r="B175" s="55">
        <f>Fluxo_de_Caixa_Janeiro[[#This Row],[Fluxo de Caixa 2026 CTR]]</f>
        <v>0</v>
      </c>
      <c r="C175" s="35">
        <f>Fluxo_de_Caixa_Janeiro[[#This Row],[Janeiro]]</f>
        <v>0</v>
      </c>
      <c r="D175" s="62">
        <f>Fluxo_de_Caixa_Janeiro3[[#This Row],[Fevereiro]]</f>
        <v>0</v>
      </c>
      <c r="E175" s="62">
        <f>Fluxo_de_Caixa_Janeiro34[[#This Row],[Março]]</f>
        <v>0</v>
      </c>
      <c r="F175" s="62"/>
      <c r="G175" s="62"/>
      <c r="H175" s="62"/>
      <c r="I175" s="35"/>
      <c r="J175" s="62"/>
      <c r="K175" s="62"/>
      <c r="L175" s="62"/>
      <c r="M175" s="62"/>
      <c r="N175" s="119"/>
      <c r="O175" s="224">
        <f>SUM(Fluxo_de_Caixa_Janeiro31020[[#This Row],[Janeiro]:[Dezembro]])</f>
        <v>0</v>
      </c>
      <c r="P175" s="194">
        <f t="shared" si="10"/>
        <v>0</v>
      </c>
      <c r="Q175" s="317">
        <v>0</v>
      </c>
      <c r="R175" s="32" t="str">
        <f>IF(Fluxo_de_Caixa_Janeiro31020[[#This Row],[% ACUMULADO  1º Trimes 2026]]&lt;=Fluxo_de_Caixa_Janeiro31020[[#This Row],[% ACUMULADO  1º Trimes 2025]],"VERDADEIRO","FALSO")</f>
        <v>VERDADEIRO</v>
      </c>
      <c r="V175" s="516">
        <v>0</v>
      </c>
      <c r="W175" s="590">
        <v>0</v>
      </c>
    </row>
    <row r="176" spans="1:23" x14ac:dyDescent="0.25">
      <c r="B176" s="55" t="str">
        <f>Fluxo_de_Caixa_Janeiro[[#This Row],[Fluxo de Caixa 2026 CTR]]</f>
        <v>3.5.09. Sindicato Patronal / Entidades de apoio Comercio/Indus</v>
      </c>
      <c r="C176" s="35">
        <f>Fluxo_de_Caixa_Janeiro[[#This Row],[Janeiro]]</f>
        <v>0</v>
      </c>
      <c r="D176" s="62">
        <f>Fluxo_de_Caixa_Janeiro3[[#This Row],[Fevereiro]]</f>
        <v>0</v>
      </c>
      <c r="E176" s="62">
        <f>Fluxo_de_Caixa_Janeiro34[[#This Row],[Março]]</f>
        <v>0</v>
      </c>
      <c r="F176" s="62"/>
      <c r="G176" s="62"/>
      <c r="H176" s="62"/>
      <c r="I176" s="35"/>
      <c r="J176" s="62"/>
      <c r="K176" s="62"/>
      <c r="L176" s="62"/>
      <c r="M176" s="62"/>
      <c r="N176" s="119"/>
      <c r="O176" s="224">
        <f>SUM(Fluxo_de_Caixa_Janeiro31020[[#This Row],[Janeiro]:[Dezembro]])</f>
        <v>0</v>
      </c>
      <c r="P176" s="194">
        <f t="shared" si="10"/>
        <v>0</v>
      </c>
      <c r="Q176" s="317">
        <v>0</v>
      </c>
      <c r="R176" s="32" t="str">
        <f>IF(Fluxo_de_Caixa_Janeiro31020[[#This Row],[% ACUMULADO  1º Trimes 2026]]&lt;=Fluxo_de_Caixa_Janeiro31020[[#This Row],[% ACUMULADO  1º Trimes 2025]],"VERDADEIRO","FALSO")</f>
        <v>VERDADEIRO</v>
      </c>
      <c r="V176" s="516">
        <v>0</v>
      </c>
      <c r="W176" s="590">
        <v>0</v>
      </c>
    </row>
    <row r="177" spans="2:23" x14ac:dyDescent="0.25">
      <c r="B177" s="55" t="str">
        <f>Fluxo_de_Caixa_Janeiro[[#This Row],[Fluxo de Caixa 2026 CTR]]</f>
        <v>3.5.10. Honorarios Contabilidade</v>
      </c>
      <c r="C177" s="538">
        <f>Fluxo_de_Caixa_Janeiro[[#This Row],[Janeiro]]</f>
        <v>6218</v>
      </c>
      <c r="D177" s="62">
        <f>Fluxo_de_Caixa_Janeiro3[[#This Row],[Fevereiro]]</f>
        <v>9000</v>
      </c>
      <c r="E177" s="407">
        <f>Fluxo_de_Caixa_Janeiro34[[#This Row],[Março]]</f>
        <v>9000</v>
      </c>
      <c r="F177" s="62"/>
      <c r="G177" s="62"/>
      <c r="H177" s="62"/>
      <c r="I177" s="35"/>
      <c r="J177" s="62"/>
      <c r="K177" s="62"/>
      <c r="L177" s="62"/>
      <c r="M177" s="62"/>
      <c r="N177" s="119"/>
      <c r="O177" s="224">
        <f>SUM(Fluxo_de_Caixa_Janeiro31020[[#This Row],[Janeiro]:[Dezembro]])</f>
        <v>24218</v>
      </c>
      <c r="P177" s="194">
        <f t="shared" si="10"/>
        <v>8.4208051802284415E-3</v>
      </c>
      <c r="Q177" s="317">
        <v>6.6665379646216614E-3</v>
      </c>
      <c r="R177" s="32" t="str">
        <f>IF(Fluxo_de_Caixa_Janeiro31020[[#This Row],[% ACUMULADO  1º Trimes 2026]]&lt;=Fluxo_de_Caixa_Janeiro31020[[#This Row],[% ACUMULADO  1º Trimes 2025]],"VERDADEIRO","FALSO")</f>
        <v>FALSO</v>
      </c>
      <c r="V177" s="516">
        <v>17936</v>
      </c>
      <c r="W177" s="590">
        <v>6.6665379646216614E-3</v>
      </c>
    </row>
    <row r="178" spans="2:23" ht="15.75" thickBot="1" x14ac:dyDescent="0.3">
      <c r="B178" s="55" t="str">
        <f>Fluxo_de_Caixa_Janeiro[[#This Row],[Fluxo de Caixa 2026 CTR]]</f>
        <v>3.5.10.01. DECIMO TERCEIRO CONTABILIDADE</v>
      </c>
      <c r="C178" s="35">
        <f>Fluxo_de_Caixa_Janeiro[[#This Row],[Janeiro]]</f>
        <v>0</v>
      </c>
      <c r="D178" s="62">
        <f>Fluxo_de_Caixa_Janeiro3[[#This Row],[Fevereiro]]</f>
        <v>0</v>
      </c>
      <c r="E178" s="62">
        <f>Fluxo_de_Caixa_Janeiro34[[#This Row],[Março]]</f>
        <v>0</v>
      </c>
      <c r="F178" s="62"/>
      <c r="G178" s="62"/>
      <c r="H178" s="62"/>
      <c r="I178" s="35"/>
      <c r="J178" s="62"/>
      <c r="K178" s="62"/>
      <c r="L178" s="62"/>
      <c r="M178" s="62"/>
      <c r="N178" s="119"/>
      <c r="O178" s="224">
        <f>SUM(Fluxo_de_Caixa_Janeiro31020[[#This Row],[Janeiro]:[Dezembro]])</f>
        <v>0</v>
      </c>
      <c r="P178" s="194">
        <f t="shared" si="10"/>
        <v>0</v>
      </c>
      <c r="Q178" s="317">
        <v>0</v>
      </c>
      <c r="R178" s="32" t="str">
        <f>IF(Fluxo_de_Caixa_Janeiro31020[[#This Row],[% ACUMULADO  1º Trimes 2026]]&lt;=Fluxo_de_Caixa_Janeiro31020[[#This Row],[% ACUMULADO  1º Trimes 2025]],"VERDADEIRO","FALSO")</f>
        <v>VERDADEIRO</v>
      </c>
      <c r="V178" s="516">
        <v>0</v>
      </c>
      <c r="W178" s="590">
        <v>0</v>
      </c>
    </row>
    <row r="179" spans="2:23" hidden="1" x14ac:dyDescent="0.25">
      <c r="B179" s="55">
        <f>Fluxo_de_Caixa_Janeiro[[#This Row],[Fluxo de Caixa 2026 CTR]]</f>
        <v>0</v>
      </c>
      <c r="C179" s="35">
        <f>Fluxo_de_Caixa_Janeiro[[#This Row],[Janeiro]]</f>
        <v>0</v>
      </c>
      <c r="D179" s="62">
        <f>Fluxo_de_Caixa_Janeiro3[[#This Row],[Fevereiro]]</f>
        <v>0</v>
      </c>
      <c r="E179" s="62">
        <f>Fluxo_de_Caixa_Janeiro34[[#This Row],[Março]]</f>
        <v>0</v>
      </c>
      <c r="F179" s="62"/>
      <c r="G179" s="62"/>
      <c r="H179" s="62"/>
      <c r="I179" s="35"/>
      <c r="J179" s="62"/>
      <c r="K179" s="62"/>
      <c r="L179" s="62"/>
      <c r="M179" s="62"/>
      <c r="N179" s="119"/>
      <c r="O179" s="224">
        <f>SUM(Fluxo_de_Caixa_Janeiro31020[[#This Row],[Janeiro]:[Dezembro]])</f>
        <v>0</v>
      </c>
      <c r="P179" s="194">
        <f t="shared" si="10"/>
        <v>0</v>
      </c>
      <c r="Q179" s="317">
        <v>0</v>
      </c>
      <c r="R179" s="32" t="str">
        <f>IF(Fluxo_de_Caixa_Janeiro31020[[#This Row],[% ACUMULADO  1º Trimes 2026]]&lt;=Fluxo_de_Caixa_Janeiro31020[[#This Row],[% ACUMULADO  1º Trimes 2025]],"VERDADEIRO","FALSO")</f>
        <v>VERDADEIRO</v>
      </c>
      <c r="V179" s="516">
        <v>0</v>
      </c>
      <c r="W179" s="590">
        <v>0</v>
      </c>
    </row>
    <row r="180" spans="2:23" hidden="1" x14ac:dyDescent="0.25">
      <c r="B180" s="55">
        <f>Fluxo_de_Caixa_Janeiro[[#This Row],[Fluxo de Caixa 2026 CTR]]</f>
        <v>0</v>
      </c>
      <c r="C180" s="35">
        <f>Fluxo_de_Caixa_Janeiro[[#This Row],[Janeiro]]</f>
        <v>0</v>
      </c>
      <c r="D180" s="62">
        <f>Fluxo_de_Caixa_Janeiro3[[#This Row],[Fevereiro]]</f>
        <v>0</v>
      </c>
      <c r="E180" s="62">
        <f>Fluxo_de_Caixa_Janeiro34[[#This Row],[Março]]</f>
        <v>0</v>
      </c>
      <c r="F180" s="62"/>
      <c r="G180" s="62"/>
      <c r="H180" s="62"/>
      <c r="I180" s="35"/>
      <c r="J180" s="62"/>
      <c r="K180" s="62"/>
      <c r="L180" s="62"/>
      <c r="M180" s="62"/>
      <c r="N180" s="119"/>
      <c r="O180" s="224">
        <f>SUM(Fluxo_de_Caixa_Janeiro31020[[#This Row],[Janeiro]:[Dezembro]])</f>
        <v>0</v>
      </c>
      <c r="P180" s="194">
        <f t="shared" si="10"/>
        <v>0</v>
      </c>
      <c r="Q180" s="317">
        <v>0</v>
      </c>
      <c r="R180" s="32" t="str">
        <f>IF(Fluxo_de_Caixa_Janeiro31020[[#This Row],[% ACUMULADO  1º Trimes 2026]]&lt;=Fluxo_de_Caixa_Janeiro31020[[#This Row],[% ACUMULADO  1º Trimes 2025]],"VERDADEIRO","FALSO")</f>
        <v>VERDADEIRO</v>
      </c>
      <c r="V180" s="516">
        <v>0</v>
      </c>
      <c r="W180" s="590">
        <v>0</v>
      </c>
    </row>
    <row r="181" spans="2:23" ht="15.75" hidden="1" thickBot="1" x14ac:dyDescent="0.3">
      <c r="B181" s="55">
        <f>Fluxo_de_Caixa_Janeiro[[#This Row],[Fluxo de Caixa 2026 CTR]]</f>
        <v>0</v>
      </c>
      <c r="C181" s="35">
        <f>Fluxo_de_Caixa_Janeiro[[#This Row],[Janeiro]]</f>
        <v>0</v>
      </c>
      <c r="D181" s="62">
        <f>Fluxo_de_Caixa_Janeiro3[[#This Row],[Fevereiro]]</f>
        <v>0</v>
      </c>
      <c r="E181" s="62">
        <f>Fluxo_de_Caixa_Janeiro34[[#This Row],[Março]]</f>
        <v>0</v>
      </c>
      <c r="F181" s="62"/>
      <c r="G181" s="62"/>
      <c r="H181" s="62"/>
      <c r="I181" s="35"/>
      <c r="J181" s="62"/>
      <c r="K181" s="62"/>
      <c r="L181" s="62"/>
      <c r="M181" s="62"/>
      <c r="N181" s="119"/>
      <c r="O181" s="224">
        <f>SUM(Fluxo_de_Caixa_Janeiro31020[[#This Row],[Janeiro]:[Dezembro]])</f>
        <v>0</v>
      </c>
      <c r="P181" s="194">
        <f t="shared" si="10"/>
        <v>0</v>
      </c>
      <c r="Q181" s="317">
        <v>0</v>
      </c>
      <c r="R181" s="32" t="str">
        <f>IF(Fluxo_de_Caixa_Janeiro31020[[#This Row],[% ACUMULADO  1º Trimes 2026]]&lt;=Fluxo_de_Caixa_Janeiro31020[[#This Row],[% ACUMULADO  1º Trimes 2025]],"VERDADEIRO","FALSO")</f>
        <v>VERDADEIRO</v>
      </c>
      <c r="V181" s="516">
        <v>0</v>
      </c>
      <c r="W181" s="590">
        <v>0</v>
      </c>
    </row>
    <row r="182" spans="2:23" ht="19.5" thickBot="1" x14ac:dyDescent="0.35">
      <c r="B182" s="277" t="str">
        <f>Fluxo_de_Caixa_Janeiro[[#This Row],[Fluxo de Caixa 2026 CTR]]</f>
        <v>3.6. DESPESAS FINANCEIRAS</v>
      </c>
      <c r="C182" s="158">
        <f>Fluxo_de_Caixa_Janeiro[[#This Row],[Janeiro]]</f>
        <v>-23254.140000000003</v>
      </c>
      <c r="D182" s="97">
        <f>Fluxo_de_Caixa_Janeiro3[[#This Row],[Fevereiro]]</f>
        <v>-31980.16</v>
      </c>
      <c r="E182" s="97">
        <f>Fluxo_de_Caixa_Janeiro34[[#This Row],[Março]]</f>
        <v>-68559.16</v>
      </c>
      <c r="F182" s="97"/>
      <c r="G182" s="97"/>
      <c r="H182" s="97"/>
      <c r="I182" s="158"/>
      <c r="J182" s="97"/>
      <c r="K182" s="97"/>
      <c r="L182" s="97"/>
      <c r="M182" s="97"/>
      <c r="N182" s="129"/>
      <c r="O182" s="226">
        <f>SUM(Fluxo_de_Caixa_Janeiro31020[[#This Row],[Janeiro]:[Dezembro]])</f>
        <v>-123793.46</v>
      </c>
      <c r="P182" s="144">
        <f>-IFERROR(O182/$O$27,"0,00")</f>
        <v>4.3044042003732859E-2</v>
      </c>
      <c r="Q182" s="549">
        <v>4.0169608084506432E-3</v>
      </c>
      <c r="R182" s="32" t="str">
        <f>IF(Fluxo_de_Caixa_Janeiro31020[[#This Row],[% ACUMULADO  1º Trimes 2026]]&lt;=Fluxo_de_Caixa_Janeiro31020[[#This Row],[% ACUMULADO  1º Trimes 2025]],"VERDADEIRO","FALSO")</f>
        <v>FALSO</v>
      </c>
      <c r="S182" s="656"/>
      <c r="V182" s="518">
        <v>-10807.44</v>
      </c>
      <c r="W182" s="592">
        <v>4.0169608084506432E-3</v>
      </c>
    </row>
    <row r="183" spans="2:23" x14ac:dyDescent="0.25">
      <c r="B183" s="386" t="str">
        <f>Fluxo_de_Caixa_Janeiro[[#This Row],[Fluxo de Caixa 2026 CTR]]</f>
        <v xml:space="preserve">3.6.01. Tarifas Bancárias </v>
      </c>
      <c r="C183" s="36">
        <f>Fluxo_de_Caixa_Janeiro[[#This Row],[Janeiro]]</f>
        <v>1154.2700000000002</v>
      </c>
      <c r="D183" s="82">
        <f>Fluxo_de_Caixa_Janeiro3[[#This Row],[Fevereiro]]</f>
        <v>1343.4800000000002</v>
      </c>
      <c r="E183" s="82">
        <f>Fluxo_de_Caixa_Janeiro34[[#This Row],[Março]]</f>
        <v>1516.4700000000003</v>
      </c>
      <c r="F183" s="82"/>
      <c r="G183" s="82"/>
      <c r="H183" s="82"/>
      <c r="I183" s="36"/>
      <c r="J183" s="82"/>
      <c r="K183" s="82"/>
      <c r="L183" s="82"/>
      <c r="M183" s="82"/>
      <c r="N183" s="120"/>
      <c r="O183" s="225">
        <f>SUM(Fluxo_de_Caixa_Janeiro31020[[#This Row],[Janeiro]:[Dezembro]])</f>
        <v>4014.2200000000007</v>
      </c>
      <c r="P183" s="195">
        <f t="shared" ref="P183:P199" si="11">IFERROR(O183/$O$27,"0,00%")</f>
        <v>1.3957785354107117E-3</v>
      </c>
      <c r="Q183" s="548">
        <v>1.6379887462327242E-3</v>
      </c>
      <c r="R183" s="32" t="str">
        <f>IF(Fluxo_de_Caixa_Janeiro31020[[#This Row],[% ACUMULADO  1º Trimes 2026]]&lt;=Fluxo_de_Caixa_Janeiro31020[[#This Row],[% ACUMULADO  1º Trimes 2025]],"VERDADEIRO","FALSO")</f>
        <v>VERDADEIRO</v>
      </c>
      <c r="V183" s="517">
        <v>4406.93</v>
      </c>
      <c r="W183" s="591">
        <v>1.6379887462327242E-3</v>
      </c>
    </row>
    <row r="184" spans="2:23" x14ac:dyDescent="0.25">
      <c r="B184" s="385" t="str">
        <f>Fluxo_de_Caixa_Janeiro[[#This Row],[Fluxo de Caixa 2026 CTR]]</f>
        <v>3.6.02. IOF</v>
      </c>
      <c r="C184" s="357">
        <f>Fluxo_de_Caixa_Janeiro[[#This Row],[Janeiro]]</f>
        <v>873.47</v>
      </c>
      <c r="D184" s="306">
        <f>Fluxo_de_Caixa_Janeiro3[[#This Row],[Fevereiro]]</f>
        <v>456.5</v>
      </c>
      <c r="E184" s="306">
        <f>Fluxo_de_Caixa_Janeiro34[[#This Row],[Março]]</f>
        <v>386.78</v>
      </c>
      <c r="F184" s="306"/>
      <c r="G184" s="306"/>
      <c r="H184" s="306"/>
      <c r="I184" s="357"/>
      <c r="J184" s="306"/>
      <c r="K184" s="306"/>
      <c r="L184" s="306"/>
      <c r="M184" s="306"/>
      <c r="N184" s="306"/>
      <c r="O184" s="225">
        <f>SUM(Fluxo_de_Caixa_Janeiro31020[[#This Row],[Janeiro]:[Dezembro]])</f>
        <v>1716.75</v>
      </c>
      <c r="P184" s="195">
        <f t="shared" si="11"/>
        <v>5.9692861892630174E-4</v>
      </c>
      <c r="Q184" s="548">
        <v>5.877079521442781E-5</v>
      </c>
      <c r="R184" s="32" t="str">
        <f>IF(Fluxo_de_Caixa_Janeiro31020[[#This Row],[% ACUMULADO  1º Trimes 2026]]&lt;=Fluxo_de_Caixa_Janeiro31020[[#This Row],[% ACUMULADO  1º Trimes 2025]],"VERDADEIRO","FALSO")</f>
        <v>FALSO</v>
      </c>
      <c r="V184" s="517">
        <v>158.12</v>
      </c>
      <c r="W184" s="591">
        <v>5.877079521442781E-5</v>
      </c>
    </row>
    <row r="185" spans="2:23" x14ac:dyDescent="0.25">
      <c r="B185" s="385" t="str">
        <f>Fluxo_de_Caixa_Janeiro[[#This Row],[Fluxo de Caixa 2026 CTR]]</f>
        <v>3.6.03. Perdas e Devedores Duvidosos</v>
      </c>
      <c r="C185" s="357">
        <f>Fluxo_de_Caixa_Janeiro[[#This Row],[Janeiro]]</f>
        <v>0</v>
      </c>
      <c r="D185" s="306">
        <f>Fluxo_de_Caixa_Janeiro3[[#This Row],[Fevereiro]]</f>
        <v>0</v>
      </c>
      <c r="E185" s="306">
        <f>Fluxo_de_Caixa_Janeiro34[[#This Row],[Março]]</f>
        <v>0</v>
      </c>
      <c r="F185" s="306"/>
      <c r="G185" s="306"/>
      <c r="H185" s="306"/>
      <c r="I185" s="357"/>
      <c r="J185" s="306"/>
      <c r="K185" s="306"/>
      <c r="L185" s="306"/>
      <c r="M185" s="306"/>
      <c r="N185" s="306"/>
      <c r="O185" s="225">
        <f>SUM(Fluxo_de_Caixa_Janeiro31020[[#This Row],[Janeiro]:[Dezembro]])</f>
        <v>0</v>
      </c>
      <c r="P185" s="195">
        <f t="shared" si="11"/>
        <v>0</v>
      </c>
      <c r="Q185" s="548">
        <v>0</v>
      </c>
      <c r="R185" s="32" t="str">
        <f>IF(Fluxo_de_Caixa_Janeiro31020[[#This Row],[% ACUMULADO  1º Trimes 2026]]&lt;=Fluxo_de_Caixa_Janeiro31020[[#This Row],[% ACUMULADO  1º Trimes 2025]],"VERDADEIRO","FALSO")</f>
        <v>VERDADEIRO</v>
      </c>
      <c r="V185" s="517">
        <v>0</v>
      </c>
      <c r="W185" s="591">
        <v>0</v>
      </c>
    </row>
    <row r="186" spans="2:23" hidden="1" x14ac:dyDescent="0.25">
      <c r="B186" s="385">
        <f>Fluxo_de_Caixa_Janeiro[[#This Row],[Fluxo de Caixa 2026 CTR]]</f>
        <v>0</v>
      </c>
      <c r="C186" s="357">
        <f>Fluxo_de_Caixa_Janeiro[[#This Row],[Janeiro]]</f>
        <v>0</v>
      </c>
      <c r="D186" s="306">
        <f>Fluxo_de_Caixa_Janeiro3[[#This Row],[Fevereiro]]</f>
        <v>0</v>
      </c>
      <c r="E186" s="306">
        <f>Fluxo_de_Caixa_Janeiro34[[#This Row],[Março]]</f>
        <v>0</v>
      </c>
      <c r="F186" s="306"/>
      <c r="G186" s="306"/>
      <c r="H186" s="306"/>
      <c r="I186" s="357"/>
      <c r="J186" s="306"/>
      <c r="K186" s="306"/>
      <c r="L186" s="306"/>
      <c r="M186" s="306"/>
      <c r="N186" s="306"/>
      <c r="O186" s="225">
        <f>SUM(Fluxo_de_Caixa_Janeiro31020[[#This Row],[Janeiro]:[Dezembro]])</f>
        <v>0</v>
      </c>
      <c r="P186" s="195">
        <f t="shared" si="11"/>
        <v>0</v>
      </c>
      <c r="Q186" s="548">
        <v>0</v>
      </c>
      <c r="R186" s="32" t="str">
        <f>IF(Fluxo_de_Caixa_Janeiro31020[[#This Row],[% ACUMULADO  1º Trimes 2026]]&lt;=Fluxo_de_Caixa_Janeiro31020[[#This Row],[% ACUMULADO  1º Trimes 2025]],"VERDADEIRO","FALSO")</f>
        <v>VERDADEIRO</v>
      </c>
      <c r="V186" s="517">
        <v>0</v>
      </c>
      <c r="W186" s="591">
        <v>0</v>
      </c>
    </row>
    <row r="187" spans="2:23" x14ac:dyDescent="0.25">
      <c r="B187" s="385" t="str">
        <f>Fluxo_de_Caixa_Janeiro[[#This Row],[Fluxo de Caixa 2026 CTR]]</f>
        <v>3.6.05.MULTA E JUROS DE MORA PAGAMENTO</v>
      </c>
      <c r="C187" s="357">
        <f>Fluxo_de_Caixa_Janeiro[[#This Row],[Janeiro]]</f>
        <v>0</v>
      </c>
      <c r="D187" s="306">
        <f>Fluxo_de_Caixa_Janeiro3[[#This Row],[Fevereiro]]</f>
        <v>0</v>
      </c>
      <c r="E187" s="306">
        <f>Fluxo_de_Caixa_Janeiro34[[#This Row],[Março]]</f>
        <v>0</v>
      </c>
      <c r="F187" s="306"/>
      <c r="G187" s="306"/>
      <c r="H187" s="306"/>
      <c r="I187" s="357"/>
      <c r="J187" s="306"/>
      <c r="K187" s="306"/>
      <c r="L187" s="306"/>
      <c r="M187" s="306"/>
      <c r="N187" s="306"/>
      <c r="O187" s="225">
        <f>SUM(Fluxo_de_Caixa_Janeiro31020[[#This Row],[Janeiro]:[Dezembro]])</f>
        <v>0</v>
      </c>
      <c r="P187" s="195">
        <f t="shared" si="11"/>
        <v>0</v>
      </c>
      <c r="Q187" s="548">
        <v>4.6471746304451739E-5</v>
      </c>
      <c r="R187" s="32" t="str">
        <f>IF(Fluxo_de_Caixa_Janeiro31020[[#This Row],[% ACUMULADO  1º Trimes 2026]]&lt;=Fluxo_de_Caixa_Janeiro31020[[#This Row],[% ACUMULADO  1º Trimes 2025]],"VERDADEIRO","FALSO")</f>
        <v>VERDADEIRO</v>
      </c>
      <c r="V187" s="517">
        <v>125.03</v>
      </c>
      <c r="W187" s="591">
        <v>4.6471746304451739E-5</v>
      </c>
    </row>
    <row r="188" spans="2:23" hidden="1" x14ac:dyDescent="0.25">
      <c r="B188" s="385">
        <f>Fluxo_de_Caixa_Janeiro[[#This Row],[Fluxo de Caixa 2026 CTR]]</f>
        <v>0</v>
      </c>
      <c r="C188" s="357">
        <f>Fluxo_de_Caixa_Janeiro[[#This Row],[Janeiro]]</f>
        <v>0</v>
      </c>
      <c r="D188" s="306">
        <f>Fluxo_de_Caixa_Janeiro3[[#This Row],[Fevereiro]]</f>
        <v>0</v>
      </c>
      <c r="E188" s="306">
        <f>Fluxo_de_Caixa_Janeiro34[[#This Row],[Março]]</f>
        <v>0</v>
      </c>
      <c r="F188" s="306"/>
      <c r="G188" s="306"/>
      <c r="H188" s="306"/>
      <c r="I188" s="357"/>
      <c r="J188" s="306"/>
      <c r="K188" s="306"/>
      <c r="L188" s="306"/>
      <c r="M188" s="306"/>
      <c r="N188" s="306"/>
      <c r="O188" s="225">
        <f>SUM(Fluxo_de_Caixa_Janeiro31020[[#This Row],[Janeiro]:[Dezembro]])</f>
        <v>0</v>
      </c>
      <c r="P188" s="195">
        <f t="shared" si="11"/>
        <v>0</v>
      </c>
      <c r="Q188" s="548">
        <v>0</v>
      </c>
      <c r="R188" s="32" t="str">
        <f>IF(Fluxo_de_Caixa_Janeiro31020[[#This Row],[% ACUMULADO  1º Trimes 2026]]&lt;=Fluxo_de_Caixa_Janeiro31020[[#This Row],[% ACUMULADO  1º Trimes 2025]],"VERDADEIRO","FALSO")</f>
        <v>VERDADEIRO</v>
      </c>
      <c r="V188" s="517">
        <v>0</v>
      </c>
      <c r="W188" s="591">
        <v>0</v>
      </c>
    </row>
    <row r="189" spans="2:23" x14ac:dyDescent="0.25">
      <c r="B189" s="385" t="str">
        <f>Fluxo_de_Caixa_Janeiro[[#This Row],[Fluxo de Caixa 2026 CTR]]</f>
        <v>3.6.07.FALTA ACERTO CAIXA</v>
      </c>
      <c r="C189" s="357">
        <f>Fluxo_de_Caixa_Janeiro[[#This Row],[Janeiro]]</f>
        <v>0</v>
      </c>
      <c r="D189" s="306">
        <f>Fluxo_de_Caixa_Janeiro3[[#This Row],[Fevereiro]]</f>
        <v>0</v>
      </c>
      <c r="E189" s="306">
        <f>Fluxo_de_Caixa_Janeiro34[[#This Row],[Março]]</f>
        <v>0</v>
      </c>
      <c r="F189" s="306"/>
      <c r="G189" s="306"/>
      <c r="H189" s="306"/>
      <c r="I189" s="357"/>
      <c r="J189" s="306"/>
      <c r="K189" s="306"/>
      <c r="L189" s="306"/>
      <c r="M189" s="306"/>
      <c r="N189" s="306"/>
      <c r="O189" s="225">
        <f>SUM(Fluxo_de_Caixa_Janeiro31020[[#This Row],[Janeiro]:[Dezembro]])</f>
        <v>0</v>
      </c>
      <c r="P189" s="195">
        <f t="shared" si="11"/>
        <v>0</v>
      </c>
      <c r="Q189" s="548">
        <v>0</v>
      </c>
      <c r="R189" s="32" t="str">
        <f>IF(Fluxo_de_Caixa_Janeiro31020[[#This Row],[% ACUMULADO  1º Trimes 2026]]&lt;=Fluxo_de_Caixa_Janeiro31020[[#This Row],[% ACUMULADO  1º Trimes 2025]],"VERDADEIRO","FALSO")</f>
        <v>VERDADEIRO</v>
      </c>
      <c r="V189" s="517">
        <v>0</v>
      </c>
      <c r="W189" s="591">
        <v>0</v>
      </c>
    </row>
    <row r="190" spans="2:23" x14ac:dyDescent="0.25">
      <c r="B190" s="385" t="str">
        <f>Fluxo_de_Caixa_Janeiro[[#This Row],[Fluxo de Caixa 2026 CTR]]</f>
        <v>3.6.08. Juros Sobre Emprestimos</v>
      </c>
      <c r="C190" s="357">
        <f>Fluxo_de_Caixa_Janeiro[[#This Row],[Janeiro]]</f>
        <v>21226.400000000001</v>
      </c>
      <c r="D190" s="306">
        <f>Fluxo_de_Caixa_Janeiro3[[#This Row],[Fevereiro]]</f>
        <v>29472.35</v>
      </c>
      <c r="E190" s="306">
        <f>Fluxo_de_Caixa_Janeiro34[[#This Row],[Março]]</f>
        <v>66655.91</v>
      </c>
      <c r="F190" s="306"/>
      <c r="G190" s="306"/>
      <c r="H190" s="306"/>
      <c r="I190" s="357"/>
      <c r="J190" s="306"/>
      <c r="K190" s="306"/>
      <c r="L190" s="306"/>
      <c r="M190" s="306"/>
      <c r="N190" s="306"/>
      <c r="O190" s="225">
        <f>SUM(Fluxo_de_Caixa_Janeiro31020[[#This Row],[Janeiro]:[Dezembro]])</f>
        <v>117354.66</v>
      </c>
      <c r="P190" s="660">
        <f t="shared" si="11"/>
        <v>4.080521632058582E-2</v>
      </c>
      <c r="Q190" s="548">
        <v>2.2737295206990394E-3</v>
      </c>
      <c r="R190" s="32" t="str">
        <f>IF(Fluxo_de_Caixa_Janeiro31020[[#This Row],[% ACUMULADO  1º Trimes 2026]]&lt;=Fluxo_de_Caixa_Janeiro31020[[#This Row],[% ACUMULADO  1º Trimes 2025]],"VERDADEIRO","FALSO")</f>
        <v>FALSO</v>
      </c>
      <c r="V190" s="517">
        <v>6117.3600000000006</v>
      </c>
      <c r="W190" s="591">
        <v>2.2737295206990394E-3</v>
      </c>
    </row>
    <row r="191" spans="2:23" x14ac:dyDescent="0.25">
      <c r="B191" s="385" t="str">
        <f>Fluxo_de_Caixa_Janeiro[[#This Row],[Fluxo de Caixa 2026 CTR]]</f>
        <v>3.6.09.RECUPERACAO DE CRED DEVEDOR DUV</v>
      </c>
      <c r="C191" s="357">
        <f>Fluxo_de_Caixa_Janeiro[[#This Row],[Janeiro]]</f>
        <v>0</v>
      </c>
      <c r="D191" s="306">
        <f>Fluxo_de_Caixa_Janeiro3[[#This Row],[Fevereiro]]</f>
        <v>0</v>
      </c>
      <c r="E191" s="306">
        <f>Fluxo_de_Caixa_Janeiro34[[#This Row],[Março]]</f>
        <v>0</v>
      </c>
      <c r="F191" s="306"/>
      <c r="G191" s="306"/>
      <c r="H191" s="306"/>
      <c r="I191" s="357"/>
      <c r="J191" s="306"/>
      <c r="K191" s="306"/>
      <c r="L191" s="306"/>
      <c r="M191" s="306"/>
      <c r="N191" s="306"/>
      <c r="O191" s="225">
        <f>SUM(Fluxo_de_Caixa_Janeiro31020[[#This Row],[Janeiro]:[Dezembro]])</f>
        <v>0</v>
      </c>
      <c r="P191" s="195">
        <f t="shared" si="11"/>
        <v>0</v>
      </c>
      <c r="Q191" s="548">
        <v>0</v>
      </c>
      <c r="R191" s="32" t="str">
        <f>IF(Fluxo_de_Caixa_Janeiro31020[[#This Row],[% ACUMULADO  1º Trimes 2026]]&lt;=Fluxo_de_Caixa_Janeiro31020[[#This Row],[% ACUMULADO  1º Trimes 2025]],"VERDADEIRO","FALSO")</f>
        <v>VERDADEIRO</v>
      </c>
      <c r="V191" s="517">
        <v>0</v>
      </c>
      <c r="W191" s="591">
        <v>0</v>
      </c>
    </row>
    <row r="192" spans="2:23" x14ac:dyDescent="0.25">
      <c r="B192" s="385" t="str">
        <f>Fluxo_de_Caixa_Janeiro[[#This Row],[Fluxo de Caixa 2026 CTR]]</f>
        <v>3.6.10.DESCONTOS OBTIDOS</v>
      </c>
      <c r="C192" s="357">
        <f>Fluxo_de_Caixa_Janeiro[[#This Row],[Janeiro]]</f>
        <v>0</v>
      </c>
      <c r="D192" s="306">
        <f>Fluxo_de_Caixa_Janeiro3[[#This Row],[Fevereiro]]</f>
        <v>0</v>
      </c>
      <c r="E192" s="306">
        <f>Fluxo_de_Caixa_Janeiro34[[#This Row],[Março]]</f>
        <v>0</v>
      </c>
      <c r="F192" s="306"/>
      <c r="G192" s="306"/>
      <c r="H192" s="306"/>
      <c r="I192" s="357"/>
      <c r="J192" s="306"/>
      <c r="K192" s="306"/>
      <c r="L192" s="306"/>
      <c r="M192" s="306"/>
      <c r="N192" s="306"/>
      <c r="O192" s="225">
        <f>SUM(Fluxo_de_Caixa_Janeiro31020[[#This Row],[Janeiro]:[Dezembro]])</f>
        <v>0</v>
      </c>
      <c r="P192" s="195">
        <f t="shared" si="11"/>
        <v>0</v>
      </c>
      <c r="Q192" s="548">
        <v>0</v>
      </c>
      <c r="R192" s="32" t="str">
        <f>IF(Fluxo_de_Caixa_Janeiro31020[[#This Row],[% ACUMULADO  1º Trimes 2026]]&lt;=Fluxo_de_Caixa_Janeiro31020[[#This Row],[% ACUMULADO  1º Trimes 2025]],"VERDADEIRO","FALSO")</f>
        <v>VERDADEIRO</v>
      </c>
      <c r="V192" s="517">
        <v>0</v>
      </c>
      <c r="W192" s="591">
        <v>0</v>
      </c>
    </row>
    <row r="193" spans="2:23" hidden="1" x14ac:dyDescent="0.25">
      <c r="B193" s="385">
        <f>Fluxo_de_Caixa_Janeiro[[#This Row],[Fluxo de Caixa 2026 CTR]]</f>
        <v>0</v>
      </c>
      <c r="C193" s="357">
        <f>Fluxo_de_Caixa_Janeiro[[#This Row],[Janeiro]]</f>
        <v>0</v>
      </c>
      <c r="D193" s="306">
        <f>Fluxo_de_Caixa_Janeiro3[[#This Row],[Fevereiro]]</f>
        <v>0</v>
      </c>
      <c r="E193" s="306">
        <f>Fluxo_de_Caixa_Janeiro34[[#This Row],[Março]]</f>
        <v>0</v>
      </c>
      <c r="F193" s="306"/>
      <c r="G193" s="306"/>
      <c r="H193" s="306"/>
      <c r="I193" s="357"/>
      <c r="J193" s="306"/>
      <c r="K193" s="306"/>
      <c r="L193" s="306"/>
      <c r="M193" s="306"/>
      <c r="N193" s="306"/>
      <c r="O193" s="224">
        <f>SUM(Fluxo_de_Caixa_Janeiro31020[[#This Row],[Janeiro]:[Dezembro]])</f>
        <v>0</v>
      </c>
      <c r="P193" s="194">
        <f t="shared" si="11"/>
        <v>0</v>
      </c>
      <c r="Q193" s="317">
        <v>0</v>
      </c>
      <c r="R193" s="32"/>
      <c r="V193" s="516">
        <v>0</v>
      </c>
      <c r="W193" s="590">
        <v>0</v>
      </c>
    </row>
    <row r="194" spans="2:23" x14ac:dyDescent="0.25">
      <c r="B194" s="169" t="str">
        <f>Fluxo_de_Caixa_Janeiro[[#This Row],[Fluxo de Caixa 2026 CTR]]</f>
        <v>3.6.12.JUROS DESCONTO DE BOLETOS</v>
      </c>
      <c r="C194" s="41">
        <f>Fluxo_de_Caixa_Janeiro[[#This Row],[Janeiro]]</f>
        <v>0</v>
      </c>
      <c r="D194" s="81">
        <f>Fluxo_de_Caixa_Janeiro3[[#This Row],[Fevereiro]]</f>
        <v>0</v>
      </c>
      <c r="E194" s="81">
        <f>Fluxo_de_Caixa_Janeiro34[[#This Row],[Março]]</f>
        <v>0</v>
      </c>
      <c r="F194" s="81"/>
      <c r="G194" s="81"/>
      <c r="H194" s="81"/>
      <c r="I194" s="41"/>
      <c r="J194" s="81"/>
      <c r="K194" s="81"/>
      <c r="L194" s="81"/>
      <c r="M194" s="81"/>
      <c r="N194" s="118"/>
      <c r="O194" s="223">
        <f>SUM(Fluxo_de_Caixa_Janeiro31020[[#This Row],[Janeiro]:[Dezembro]])</f>
        <v>0</v>
      </c>
      <c r="P194" s="193">
        <f t="shared" si="11"/>
        <v>0</v>
      </c>
      <c r="Q194" s="547">
        <v>0</v>
      </c>
      <c r="R194" s="32" t="str">
        <f>IF(Fluxo_de_Caixa_Janeiro31020[[#This Row],[% ACUMULADO  1º Trimes 2026]]&lt;=Fluxo_de_Caixa_Janeiro31020[[#This Row],[% ACUMULADO  1º Trimes 2025]],"VERDADEIRO","FALSO")</f>
        <v>VERDADEIRO</v>
      </c>
      <c r="V194" s="515">
        <v>0</v>
      </c>
      <c r="W194" s="589">
        <v>0</v>
      </c>
    </row>
    <row r="195" spans="2:23" hidden="1" x14ac:dyDescent="0.25">
      <c r="B195" s="55">
        <f>Fluxo_de_Caixa_Janeiro[[#This Row],[Fluxo de Caixa 2026 CTR]]</f>
        <v>0</v>
      </c>
      <c r="C195" s="35">
        <f>Fluxo_de_Caixa_Janeiro[[#This Row],[Janeiro]]</f>
        <v>0</v>
      </c>
      <c r="D195" s="62">
        <f>Fluxo_de_Caixa_Janeiro3[[#This Row],[Fevereiro]]</f>
        <v>0</v>
      </c>
      <c r="E195" s="62">
        <f>Fluxo_de_Caixa_Janeiro34[[#This Row],[Março]]</f>
        <v>0</v>
      </c>
      <c r="F195" s="62"/>
      <c r="G195" s="62"/>
      <c r="H195" s="62"/>
      <c r="I195" s="35"/>
      <c r="J195" s="62"/>
      <c r="K195" s="62"/>
      <c r="L195" s="62"/>
      <c r="M195" s="62"/>
      <c r="N195" s="119"/>
      <c r="O195" s="224">
        <f>SUM(Fluxo_de_Caixa_Janeiro31020[[#This Row],[Janeiro]:[Dezembro]])</f>
        <v>0</v>
      </c>
      <c r="P195" s="194">
        <f t="shared" si="11"/>
        <v>0</v>
      </c>
      <c r="Q195" s="317">
        <v>0</v>
      </c>
      <c r="R195" s="32" t="str">
        <f>IF(Fluxo_de_Caixa_Janeiro31020[[#This Row],[% ACUMULADO  1º Trimes 2026]]&lt;=Fluxo_de_Caixa_Janeiro31020[[#This Row],[% ACUMULADO  1º Trimes 2025]],"VERDADEIRO","FALSO")</f>
        <v>VERDADEIRO</v>
      </c>
      <c r="V195" s="516">
        <v>0</v>
      </c>
      <c r="W195" s="590">
        <v>0</v>
      </c>
    </row>
    <row r="196" spans="2:23" x14ac:dyDescent="0.25">
      <c r="B196" s="55" t="str">
        <f>Fluxo_de_Caixa_Janeiro[[#This Row],[Fluxo de Caixa 2026 CTR]]</f>
        <v>3.6.14. JUROS ANTEC. CARTÕES CRED/DEBITO</v>
      </c>
      <c r="C196" s="35">
        <f>Fluxo_de_Caixa_Janeiro[[#This Row],[Janeiro]]</f>
        <v>0</v>
      </c>
      <c r="D196" s="62">
        <f>Fluxo_de_Caixa_Janeiro3[[#This Row],[Fevereiro]]</f>
        <v>0</v>
      </c>
      <c r="E196" s="62">
        <f>Fluxo_de_Caixa_Janeiro34[[#This Row],[Março]]</f>
        <v>0</v>
      </c>
      <c r="F196" s="62"/>
      <c r="G196" s="62"/>
      <c r="H196" s="62"/>
      <c r="I196" s="35"/>
      <c r="J196" s="62"/>
      <c r="K196" s="62"/>
      <c r="L196" s="62"/>
      <c r="M196" s="62"/>
      <c r="N196" s="119"/>
      <c r="O196" s="224">
        <f>SUM(Fluxo_de_Caixa_Janeiro31020[[#This Row],[Janeiro]:[Dezembro]])</f>
        <v>0</v>
      </c>
      <c r="P196" s="194">
        <f t="shared" si="11"/>
        <v>0</v>
      </c>
      <c r="Q196" s="317">
        <v>0</v>
      </c>
      <c r="R196" s="32" t="str">
        <f>IF(Fluxo_de_Caixa_Janeiro31020[[#This Row],[% ACUMULADO  1º Trimes 2026]]&lt;=Fluxo_de_Caixa_Janeiro31020[[#This Row],[% ACUMULADO  1º Trimes 2025]],"VERDADEIRO","FALSO")</f>
        <v>VERDADEIRO</v>
      </c>
      <c r="V196" s="516">
        <v>0</v>
      </c>
      <c r="W196" s="590">
        <v>0</v>
      </c>
    </row>
    <row r="197" spans="2:23" x14ac:dyDescent="0.25">
      <c r="B197" s="55" t="str">
        <f>Fluxo_de_Caixa_Janeiro[[#This Row],[Fluxo de Caixa 2026 CTR]]</f>
        <v>3.6.15. IRRF Sobre Aplicação Financeira</v>
      </c>
      <c r="C197" s="35">
        <f>Fluxo_de_Caixa_Janeiro[[#This Row],[Janeiro]]</f>
        <v>0</v>
      </c>
      <c r="D197" s="62">
        <f>Fluxo_de_Caixa_Janeiro3[[#This Row],[Fevereiro]]</f>
        <v>0</v>
      </c>
      <c r="E197" s="62">
        <f>Fluxo_de_Caixa_Janeiro34[[#This Row],[Março]]</f>
        <v>0</v>
      </c>
      <c r="F197" s="62"/>
      <c r="G197" s="62"/>
      <c r="H197" s="62"/>
      <c r="I197" s="35"/>
      <c r="J197" s="62"/>
      <c r="K197" s="62"/>
      <c r="L197" s="62"/>
      <c r="M197" s="62"/>
      <c r="N197" s="119"/>
      <c r="O197" s="224">
        <f>SUM(Fluxo_de_Caixa_Janeiro31020[[#This Row],[Janeiro]:[Dezembro]])</f>
        <v>0</v>
      </c>
      <c r="P197" s="194">
        <f t="shared" si="11"/>
        <v>0</v>
      </c>
      <c r="Q197" s="317">
        <v>0</v>
      </c>
      <c r="R197" s="32" t="str">
        <f>IF(Fluxo_de_Caixa_Janeiro31020[[#This Row],[% ACUMULADO  1º Trimes 2026]]&lt;=Fluxo_de_Caixa_Janeiro31020[[#This Row],[% ACUMULADO  1º Trimes 2025]],"VERDADEIRO","FALSO")</f>
        <v>VERDADEIRO</v>
      </c>
      <c r="V197" s="516">
        <v>0</v>
      </c>
      <c r="W197" s="590">
        <v>0</v>
      </c>
    </row>
    <row r="198" spans="2:23" x14ac:dyDescent="0.25">
      <c r="B198" s="55" t="str">
        <f>Fluxo_de_Caixa_Janeiro[[#This Row],[Fluxo de Caixa 2026 CTR]]</f>
        <v>3.6.16.DESCONTOS FINANCEIROS</v>
      </c>
      <c r="C198" s="35">
        <f>Fluxo_de_Caixa_Janeiro[[#This Row],[Janeiro]]</f>
        <v>0</v>
      </c>
      <c r="D198" s="62">
        <f>Fluxo_de_Caixa_Janeiro3[[#This Row],[Fevereiro]]</f>
        <v>0</v>
      </c>
      <c r="E198" s="62">
        <f>Fluxo_de_Caixa_Janeiro34[[#This Row],[Março]]</f>
        <v>0</v>
      </c>
      <c r="F198" s="62"/>
      <c r="G198" s="62"/>
      <c r="H198" s="62"/>
      <c r="I198" s="35"/>
      <c r="J198" s="62"/>
      <c r="K198" s="62"/>
      <c r="L198" s="62"/>
      <c r="M198" s="62"/>
      <c r="N198" s="119"/>
      <c r="O198" s="224">
        <f>SUM(Fluxo_de_Caixa_Janeiro31020[[#This Row],[Janeiro]:[Dezembro]])</f>
        <v>0</v>
      </c>
      <c r="P198" s="194">
        <f t="shared" si="11"/>
        <v>0</v>
      </c>
      <c r="Q198" s="317">
        <v>0</v>
      </c>
      <c r="R198" s="32" t="str">
        <f>IF(Fluxo_de_Caixa_Janeiro31020[[#This Row],[% ACUMULADO  1º Trimes 2026]]&lt;=Fluxo_de_Caixa_Janeiro31020[[#This Row],[% ACUMULADO  1º Trimes 2025]],"VERDADEIRO","FALSO")</f>
        <v>VERDADEIRO</v>
      </c>
      <c r="V198" s="516">
        <v>0</v>
      </c>
      <c r="W198" s="590">
        <v>0</v>
      </c>
    </row>
    <row r="199" spans="2:23" ht="15.75" thickBot="1" x14ac:dyDescent="0.3">
      <c r="B199" s="387" t="str">
        <f>Fluxo_de_Caixa_Janeiro[[#This Row],[Fluxo de Caixa 2026 CTR]]</f>
        <v>3.6.17.JUROS DESCONTO DE BOLETOS</v>
      </c>
      <c r="C199" s="36">
        <f>Fluxo_de_Caixa_Janeiro[[#This Row],[Janeiro]]</f>
        <v>0</v>
      </c>
      <c r="D199" s="82">
        <f>Fluxo_de_Caixa_Janeiro3[[#This Row],[Fevereiro]]</f>
        <v>707.83</v>
      </c>
      <c r="E199" s="82">
        <f>Fluxo_de_Caixa_Janeiro34[[#This Row],[Março]]</f>
        <v>0</v>
      </c>
      <c r="F199" s="82"/>
      <c r="G199" s="82"/>
      <c r="H199" s="82"/>
      <c r="I199" s="36"/>
      <c r="J199" s="82"/>
      <c r="K199" s="82"/>
      <c r="L199" s="82"/>
      <c r="M199" s="82"/>
      <c r="N199" s="120"/>
      <c r="O199" s="225">
        <f>SUM(Fluxo_de_Caixa_Janeiro31020[[#This Row],[Janeiro]:[Dezembro]])</f>
        <v>707.83</v>
      </c>
      <c r="P199" s="195">
        <f t="shared" si="11"/>
        <v>2.4611852881002136E-4</v>
      </c>
      <c r="Q199" s="548">
        <v>0</v>
      </c>
      <c r="R199" s="32" t="str">
        <f>IF(Fluxo_de_Caixa_Janeiro31020[[#This Row],[% ACUMULADO  1º Trimes 2026]]&lt;=Fluxo_de_Caixa_Janeiro31020[[#This Row],[% ACUMULADO  1º Trimes 2025]],"VERDADEIRO","FALSO")</f>
        <v>FALSO</v>
      </c>
      <c r="V199" s="517">
        <v>0</v>
      </c>
      <c r="W199" s="591">
        <v>0</v>
      </c>
    </row>
    <row r="200" spans="2:23" ht="19.5" thickBot="1" x14ac:dyDescent="0.35">
      <c r="B200" s="277" t="str">
        <f>Fluxo_de_Caixa_Janeiro[[#This Row],[Fluxo de Caixa 2026 CTR]]</f>
        <v>3.7. DESPESAS COM VEICULOS</v>
      </c>
      <c r="C200" s="158">
        <f>Fluxo_de_Caixa_Janeiro[[#This Row],[Janeiro]]</f>
        <v>-14367.27</v>
      </c>
      <c r="D200" s="97">
        <f>Fluxo_de_Caixa_Janeiro3[[#This Row],[Fevereiro]]</f>
        <v>-22258.140000000003</v>
      </c>
      <c r="E200" s="97">
        <f>Fluxo_de_Caixa_Janeiro34[[#This Row],[Março]]</f>
        <v>-12551.11</v>
      </c>
      <c r="F200" s="97"/>
      <c r="G200" s="97"/>
      <c r="H200" s="97"/>
      <c r="I200" s="158"/>
      <c r="J200" s="97"/>
      <c r="K200" s="97"/>
      <c r="L200" s="97"/>
      <c r="M200" s="97"/>
      <c r="N200" s="129"/>
      <c r="O200" s="226">
        <f>SUM(Fluxo_de_Caixa_Janeiro31020[[#This Row],[Janeiro]:[Dezembro]])</f>
        <v>-49176.520000000004</v>
      </c>
      <c r="P200" s="144">
        <f>-IFERROR(O200/$O$27,"0,00")</f>
        <v>1.7099095481113533E-2</v>
      </c>
      <c r="Q200" s="549">
        <v>1.3812437772071855E-2</v>
      </c>
      <c r="R200" s="32" t="str">
        <f>IF(Fluxo_de_Caixa_Janeiro31020[[#This Row],[% ACUMULADO  1º Trimes 2026]]&lt;=Fluxo_de_Caixa_Janeiro31020[[#This Row],[% ACUMULADO  1º Trimes 2025]],"VERDADEIRO","FALSO")</f>
        <v>FALSO</v>
      </c>
      <c r="S200" s="659"/>
      <c r="V200" s="518">
        <v>-37161.699999999997</v>
      </c>
      <c r="W200" s="592">
        <v>1.3812437772071855E-2</v>
      </c>
    </row>
    <row r="201" spans="2:23" x14ac:dyDescent="0.25">
      <c r="B201" s="388" t="str">
        <f>Fluxo_de_Caixa_Janeiro[[#This Row],[Fluxo de Caixa 2026 CTR]]</f>
        <v>3.7.01. Combustível e Lubrificantes</v>
      </c>
      <c r="C201" s="41">
        <f>Fluxo_de_Caixa_Janeiro[[#This Row],[Janeiro]]</f>
        <v>6442.2199999999993</v>
      </c>
      <c r="D201" s="81">
        <f>Fluxo_de_Caixa_Janeiro3[[#This Row],[Fevereiro]]</f>
        <v>4432.5600000000004</v>
      </c>
      <c r="E201" s="81">
        <f>Fluxo_de_Caixa_Janeiro34[[#This Row],[Março]]</f>
        <v>3693.75</v>
      </c>
      <c r="F201" s="81"/>
      <c r="G201" s="81"/>
      <c r="H201" s="81"/>
      <c r="I201" s="41"/>
      <c r="J201" s="81"/>
      <c r="K201" s="81"/>
      <c r="L201" s="81"/>
      <c r="M201" s="81"/>
      <c r="N201" s="118"/>
      <c r="O201" s="223">
        <f>SUM(Fluxo_de_Caixa_Janeiro31020[[#This Row],[Janeiro]:[Dezembro]])</f>
        <v>14568.529999999999</v>
      </c>
      <c r="P201" s="193">
        <f t="shared" ref="P201:P211" si="12">IFERROR(O201/$O$27,"0,00%")</f>
        <v>5.0656021509750369E-3</v>
      </c>
      <c r="Q201" s="547">
        <v>5.3412661963402322E-3</v>
      </c>
      <c r="R201" s="32" t="str">
        <f>IF(Fluxo_de_Caixa_Janeiro31020[[#This Row],[% ACUMULADO  1º Trimes 2026]]&lt;=Fluxo_de_Caixa_Janeiro31020[[#This Row],[% ACUMULADO  1º Trimes 2025]],"VERDADEIRO","FALSO")</f>
        <v>VERDADEIRO</v>
      </c>
      <c r="V201" s="515">
        <v>14370.419999999998</v>
      </c>
      <c r="W201" s="589">
        <v>5.3412661963402322E-3</v>
      </c>
    </row>
    <row r="202" spans="2:23" x14ac:dyDescent="0.25">
      <c r="B202" s="378" t="str">
        <f>Fluxo_de_Caixa_Janeiro[[#This Row],[Fluxo de Caixa 2026 CTR]]</f>
        <v xml:space="preserve">3.7.02. Manutenção Veicular </v>
      </c>
      <c r="C202" s="357">
        <f>Fluxo_de_Caixa_Janeiro[[#This Row],[Janeiro]]</f>
        <v>0</v>
      </c>
      <c r="D202" s="306">
        <f>Fluxo_de_Caixa_Janeiro3[[#This Row],[Fevereiro]]</f>
        <v>212</v>
      </c>
      <c r="E202" s="306">
        <f>Fluxo_de_Caixa_Janeiro34[[#This Row],[Março]]</f>
        <v>120</v>
      </c>
      <c r="F202" s="306"/>
      <c r="G202" s="306"/>
      <c r="H202" s="306"/>
      <c r="I202" s="357"/>
      <c r="J202" s="306"/>
      <c r="K202" s="306"/>
      <c r="L202" s="306"/>
      <c r="M202" s="306"/>
      <c r="N202" s="360"/>
      <c r="O202" s="223">
        <f>SUM(Fluxo_de_Caixa_Janeiro31020[[#This Row],[Janeiro]:[Dezembro]])</f>
        <v>332</v>
      </c>
      <c r="P202" s="193">
        <f t="shared" si="12"/>
        <v>1.1543923196943771E-4</v>
      </c>
      <c r="Q202" s="547">
        <v>5.3894291083304022E-5</v>
      </c>
      <c r="R202" s="32" t="str">
        <f>IF(Fluxo_de_Caixa_Janeiro31020[[#This Row],[% ACUMULADO  1º Trimes 2026]]&lt;=Fluxo_de_Caixa_Janeiro31020[[#This Row],[% ACUMULADO  1º Trimes 2025]],"VERDADEIRO","FALSO")</f>
        <v>FALSO</v>
      </c>
      <c r="V202" s="515">
        <v>145</v>
      </c>
      <c r="W202" s="589">
        <v>5.3894291083304022E-5</v>
      </c>
    </row>
    <row r="203" spans="2:23" x14ac:dyDescent="0.25">
      <c r="B203" s="378" t="str">
        <f>Fluxo_de_Caixa_Janeiro[[#This Row],[Fluxo de Caixa 2026 CTR]]</f>
        <v xml:space="preserve">3.7.03. IPVA e outras taxas </v>
      </c>
      <c r="C203" s="369">
        <f>Fluxo_de_Caixa_Janeiro[[#This Row],[Janeiro]]</f>
        <v>0</v>
      </c>
      <c r="D203" s="370">
        <f>Fluxo_de_Caixa_Janeiro3[[#This Row],[Fevereiro]]</f>
        <v>0</v>
      </c>
      <c r="E203" s="370">
        <f>Fluxo_de_Caixa_Janeiro34[[#This Row],[Março]]</f>
        <v>0</v>
      </c>
      <c r="F203" s="370"/>
      <c r="G203" s="370"/>
      <c r="H203" s="370"/>
      <c r="I203" s="369"/>
      <c r="J203" s="370"/>
      <c r="K203" s="370"/>
      <c r="L203" s="370"/>
      <c r="M203" s="370"/>
      <c r="N203" s="371"/>
      <c r="O203" s="223">
        <f>SUM(Fluxo_de_Caixa_Janeiro31020[[#This Row],[Janeiro]:[Dezembro]])</f>
        <v>0</v>
      </c>
      <c r="P203" s="193">
        <f t="shared" si="12"/>
        <v>0</v>
      </c>
      <c r="Q203" s="547">
        <v>0</v>
      </c>
      <c r="R203" s="32" t="str">
        <f>IF(Fluxo_de_Caixa_Janeiro31020[[#This Row],[% ACUMULADO  1º Trimes 2026]]&lt;=Fluxo_de_Caixa_Janeiro31020[[#This Row],[% ACUMULADO  1º Trimes 2025]],"VERDADEIRO","FALSO")</f>
        <v>VERDADEIRO</v>
      </c>
      <c r="V203" s="515">
        <v>0</v>
      </c>
      <c r="W203" s="589">
        <v>0</v>
      </c>
    </row>
    <row r="204" spans="2:23" x14ac:dyDescent="0.25">
      <c r="B204" s="378" t="str">
        <f>Fluxo_de_Caixa_Janeiro[[#This Row],[Fluxo de Caixa 2026 CTR]]</f>
        <v>3.7.04. Multa</v>
      </c>
      <c r="C204" s="369">
        <f>Fluxo_de_Caixa_Janeiro[[#This Row],[Janeiro]]</f>
        <v>0</v>
      </c>
      <c r="D204" s="370">
        <f>Fluxo_de_Caixa_Janeiro3[[#This Row],[Fevereiro]]</f>
        <v>0</v>
      </c>
      <c r="E204" s="370">
        <f>Fluxo_de_Caixa_Janeiro34[[#This Row],[Março]]</f>
        <v>0</v>
      </c>
      <c r="F204" s="370"/>
      <c r="G204" s="370"/>
      <c r="H204" s="370"/>
      <c r="I204" s="369"/>
      <c r="J204" s="370"/>
      <c r="K204" s="370"/>
      <c r="L204" s="370"/>
      <c r="M204" s="370"/>
      <c r="N204" s="371"/>
      <c r="O204" s="223">
        <f>SUM(Fluxo_de_Caixa_Janeiro31020[[#This Row],[Janeiro]:[Dezembro]])</f>
        <v>0</v>
      </c>
      <c r="P204" s="193">
        <f t="shared" si="12"/>
        <v>0</v>
      </c>
      <c r="Q204" s="547">
        <v>0</v>
      </c>
      <c r="R204" s="32" t="str">
        <f>IF(Fluxo_de_Caixa_Janeiro31020[[#This Row],[% ACUMULADO  1º Trimes 2026]]&lt;=Fluxo_de_Caixa_Janeiro31020[[#This Row],[% ACUMULADO  1º Trimes 2025]],"VERDADEIRO","FALSO")</f>
        <v>VERDADEIRO</v>
      </c>
      <c r="V204" s="515">
        <v>0</v>
      </c>
      <c r="W204" s="589">
        <v>0</v>
      </c>
    </row>
    <row r="205" spans="2:23" x14ac:dyDescent="0.25">
      <c r="B205" s="378" t="str">
        <f>Fluxo_de_Caixa_Janeiro[[#This Row],[Fluxo de Caixa 2026 CTR]]</f>
        <v>3.7.05. Despesas com Estacionamento</v>
      </c>
      <c r="C205" s="369">
        <f>Fluxo_de_Caixa_Janeiro[[#This Row],[Janeiro]]</f>
        <v>0</v>
      </c>
      <c r="D205" s="370">
        <f>Fluxo_de_Caixa_Janeiro3[[#This Row],[Fevereiro]]</f>
        <v>0</v>
      </c>
      <c r="E205" s="370">
        <f>Fluxo_de_Caixa_Janeiro34[[#This Row],[Março]]</f>
        <v>0</v>
      </c>
      <c r="F205" s="370"/>
      <c r="G205" s="370"/>
      <c r="H205" s="370"/>
      <c r="I205" s="369"/>
      <c r="J205" s="370"/>
      <c r="K205" s="370"/>
      <c r="L205" s="370"/>
      <c r="M205" s="370"/>
      <c r="N205" s="371"/>
      <c r="O205" s="223">
        <f>SUM(Fluxo_de_Caixa_Janeiro31020[[#This Row],[Janeiro]:[Dezembro]])</f>
        <v>0</v>
      </c>
      <c r="P205" s="193">
        <f t="shared" si="12"/>
        <v>0</v>
      </c>
      <c r="Q205" s="547">
        <v>0</v>
      </c>
      <c r="R205" s="32" t="str">
        <f>IF(Fluxo_de_Caixa_Janeiro31020[[#This Row],[% ACUMULADO  1º Trimes 2026]]&lt;=Fluxo_de_Caixa_Janeiro31020[[#This Row],[% ACUMULADO  1º Trimes 2025]],"VERDADEIRO","FALSO")</f>
        <v>VERDADEIRO</v>
      </c>
      <c r="V205" s="515">
        <v>0</v>
      </c>
      <c r="W205" s="589">
        <v>0</v>
      </c>
    </row>
    <row r="206" spans="2:23" x14ac:dyDescent="0.25">
      <c r="B206" s="378" t="str">
        <f>Fluxo_de_Caixa_Janeiro[[#This Row],[Fluxo de Caixa 2026 CTR]]</f>
        <v>3.7.06. Aluguel de Veículo</v>
      </c>
      <c r="C206" s="369">
        <f>Fluxo_de_Caixa_Janeiro[[#This Row],[Janeiro]]</f>
        <v>7805.05</v>
      </c>
      <c r="D206" s="370">
        <f>Fluxo_de_Caixa_Janeiro3[[#This Row],[Fevereiro]]</f>
        <v>17493.580000000002</v>
      </c>
      <c r="E206" s="370">
        <f>Fluxo_de_Caixa_Janeiro34[[#This Row],[Março]]</f>
        <v>8617.36</v>
      </c>
      <c r="F206" s="370"/>
      <c r="G206" s="370"/>
      <c r="H206" s="370"/>
      <c r="I206" s="369"/>
      <c r="J206" s="370"/>
      <c r="K206" s="370"/>
      <c r="L206" s="370"/>
      <c r="M206" s="370"/>
      <c r="N206" s="371"/>
      <c r="O206" s="223">
        <f>SUM(Fluxo_de_Caixa_Janeiro31020[[#This Row],[Janeiro]:[Dezembro]])</f>
        <v>33915.990000000005</v>
      </c>
      <c r="P206" s="661">
        <f t="shared" si="12"/>
        <v>1.1792879027358826E-2</v>
      </c>
      <c r="Q206" s="547">
        <v>8.2834707688552878E-3</v>
      </c>
      <c r="R206" s="32" t="str">
        <f>IF(Fluxo_de_Caixa_Janeiro31020[[#This Row],[% ACUMULADO  1º Trimes 2026]]&lt;=Fluxo_de_Caixa_Janeiro31020[[#This Row],[% ACUMULADO  1º Trimes 2025]],"VERDADEIRO","FALSO")</f>
        <v>FALSO</v>
      </c>
      <c r="V206" s="515">
        <v>22286.28</v>
      </c>
      <c r="W206" s="589">
        <v>8.2834707688552878E-3</v>
      </c>
    </row>
    <row r="207" spans="2:23" x14ac:dyDescent="0.25">
      <c r="B207" s="378" t="str">
        <f>Fluxo_de_Caixa_Janeiro[[#This Row],[Fluxo de Caixa 2026 CTR]]</f>
        <v>3.7.07.RASTREAMENTO POR GPS</v>
      </c>
      <c r="C207" s="366">
        <f>Fluxo_de_Caixa_Janeiro[[#This Row],[Janeiro]]</f>
        <v>120</v>
      </c>
      <c r="D207" s="367">
        <f>Fluxo_de_Caixa_Janeiro3[[#This Row],[Fevereiro]]</f>
        <v>120</v>
      </c>
      <c r="E207" s="367">
        <f>Fluxo_de_Caixa_Janeiro34[[#This Row],[Março]]</f>
        <v>120</v>
      </c>
      <c r="F207" s="367"/>
      <c r="G207" s="367"/>
      <c r="H207" s="367"/>
      <c r="I207" s="366"/>
      <c r="J207" s="367"/>
      <c r="K207" s="367"/>
      <c r="L207" s="367"/>
      <c r="M207" s="367"/>
      <c r="N207" s="368"/>
      <c r="O207" s="223">
        <f>SUM(Fluxo_de_Caixa_Janeiro31020[[#This Row],[Janeiro]:[Dezembro]])</f>
        <v>360</v>
      </c>
      <c r="P207" s="193">
        <f t="shared" si="12"/>
        <v>1.2517507081023367E-4</v>
      </c>
      <c r="Q207" s="547">
        <v>1.3380651579303067E-4</v>
      </c>
      <c r="R207" s="32" t="str">
        <f>IF(Fluxo_de_Caixa_Janeiro31020[[#This Row],[% ACUMULADO  1º Trimes 2026]]&lt;=Fluxo_de_Caixa_Janeiro31020[[#This Row],[% ACUMULADO  1º Trimes 2025]],"VERDADEIRO","FALSO")</f>
        <v>VERDADEIRO</v>
      </c>
      <c r="V207" s="515">
        <v>360</v>
      </c>
      <c r="W207" s="589">
        <v>1.3380651579303067E-4</v>
      </c>
    </row>
    <row r="208" spans="2:23" x14ac:dyDescent="0.25">
      <c r="B208" s="378" t="str">
        <f>Fluxo_de_Caixa_Janeiro[[#This Row],[Fluxo de Caixa 2026 CTR]]</f>
        <v>3.7.08. Seguro Veicular</v>
      </c>
      <c r="C208" s="357">
        <f>Fluxo_de_Caixa_Janeiro[[#This Row],[Janeiro]]</f>
        <v>0</v>
      </c>
      <c r="D208" s="306">
        <f>Fluxo_de_Caixa_Janeiro3[[#This Row],[Fevereiro]]</f>
        <v>0</v>
      </c>
      <c r="E208" s="306">
        <f>Fluxo_de_Caixa_Janeiro34[[#This Row],[Março]]</f>
        <v>0</v>
      </c>
      <c r="F208" s="306"/>
      <c r="G208" s="306"/>
      <c r="H208" s="306"/>
      <c r="I208" s="357"/>
      <c r="J208" s="306"/>
      <c r="K208" s="306"/>
      <c r="L208" s="306"/>
      <c r="M208" s="306"/>
      <c r="N208" s="360"/>
      <c r="O208" s="223">
        <f>SUM(Fluxo_de_Caixa_Janeiro31020[[#This Row],[Janeiro]:[Dezembro]])</f>
        <v>0</v>
      </c>
      <c r="P208" s="193">
        <f t="shared" si="12"/>
        <v>0</v>
      </c>
      <c r="Q208" s="547">
        <v>0</v>
      </c>
      <c r="R208" s="32" t="str">
        <f>IF(Fluxo_de_Caixa_Janeiro31020[[#This Row],[% ACUMULADO  1º Trimes 2026]]&lt;=Fluxo_de_Caixa_Janeiro31020[[#This Row],[% ACUMULADO  1º Trimes 2025]],"VERDADEIRO","FALSO")</f>
        <v>VERDADEIRO</v>
      </c>
      <c r="V208" s="515">
        <v>0</v>
      </c>
      <c r="W208" s="589">
        <v>0</v>
      </c>
    </row>
    <row r="209" spans="2:23" ht="15.75" thickBot="1" x14ac:dyDescent="0.3">
      <c r="B209" s="378" t="str">
        <f>Fluxo_de_Caixa_Janeiro[[#This Row],[Fluxo de Caixa 2026 CTR]]</f>
        <v>3.7.09.PEDAGIO E TRAVESSIA DE BALSA</v>
      </c>
      <c r="C209" s="369">
        <f>Fluxo_de_Caixa_Janeiro[[#This Row],[Janeiro]]</f>
        <v>0</v>
      </c>
      <c r="D209" s="370">
        <f>Fluxo_de_Caixa_Janeiro3[[#This Row],[Fevereiro]]</f>
        <v>0</v>
      </c>
      <c r="E209" s="370">
        <f>Fluxo_de_Caixa_Janeiro34[[#This Row],[Março]]</f>
        <v>0</v>
      </c>
      <c r="F209" s="370"/>
      <c r="G209" s="370"/>
      <c r="H209" s="370"/>
      <c r="I209" s="369"/>
      <c r="J209" s="370"/>
      <c r="K209" s="370"/>
      <c r="L209" s="370"/>
      <c r="M209" s="370"/>
      <c r="N209" s="371"/>
      <c r="O209" s="223">
        <f>SUM(Fluxo_de_Caixa_Janeiro31020[[#This Row],[Janeiro]:[Dezembro]])</f>
        <v>0</v>
      </c>
      <c r="P209" s="193">
        <f t="shared" si="12"/>
        <v>0</v>
      </c>
      <c r="Q209" s="547">
        <v>0</v>
      </c>
      <c r="R209" s="32" t="str">
        <f>IF(Fluxo_de_Caixa_Janeiro31020[[#This Row],[% ACUMULADO  1º Trimes 2026]]&lt;=Fluxo_de_Caixa_Janeiro31020[[#This Row],[% ACUMULADO  1º Trimes 2025]],"VERDADEIRO","FALSO")</f>
        <v>VERDADEIRO</v>
      </c>
      <c r="V209" s="515">
        <v>0</v>
      </c>
      <c r="W209" s="589">
        <v>0</v>
      </c>
    </row>
    <row r="210" spans="2:23" hidden="1" x14ac:dyDescent="0.25">
      <c r="B210" s="378">
        <f>Fluxo_de_Caixa_Janeiro[[#This Row],[Fluxo de Caixa 2026 CTR]]</f>
        <v>0</v>
      </c>
      <c r="C210" s="369">
        <f>Fluxo_de_Caixa_Janeiro[[#This Row],[Janeiro]]</f>
        <v>0</v>
      </c>
      <c r="D210" s="370">
        <f>Fluxo_de_Caixa_Janeiro3[[#This Row],[Fevereiro]]</f>
        <v>0</v>
      </c>
      <c r="E210" s="370">
        <f>Fluxo_de_Caixa_Janeiro34[[#This Row],[Março]]</f>
        <v>0</v>
      </c>
      <c r="F210" s="370"/>
      <c r="G210" s="370"/>
      <c r="H210" s="370"/>
      <c r="I210" s="369"/>
      <c r="J210" s="370"/>
      <c r="K210" s="370"/>
      <c r="L210" s="370"/>
      <c r="M210" s="370"/>
      <c r="N210" s="371"/>
      <c r="O210" s="223">
        <f>SUM(Fluxo_de_Caixa_Janeiro31020[[#This Row],[Janeiro]:[Dezembro]])</f>
        <v>0</v>
      </c>
      <c r="P210" s="193">
        <f t="shared" si="12"/>
        <v>0</v>
      </c>
      <c r="Q210" s="547">
        <v>0</v>
      </c>
      <c r="R210" s="32" t="str">
        <f>IF(Fluxo_de_Caixa_Janeiro31020[[#This Row],[% ACUMULADO  1º Trimes 2026]]&lt;=Fluxo_de_Caixa_Janeiro31020[[#This Row],[% ACUMULADO  1º Trimes 2025]],"VERDADEIRO","FALSO")</f>
        <v>VERDADEIRO</v>
      </c>
      <c r="V210" s="515">
        <v>0</v>
      </c>
      <c r="W210" s="589">
        <v>0</v>
      </c>
    </row>
    <row r="211" spans="2:23" ht="15.75" hidden="1" thickBot="1" x14ac:dyDescent="0.3">
      <c r="B211" s="389">
        <f>Fluxo_de_Caixa_Janeiro[[#This Row],[Fluxo de Caixa 2026 CTR]]</f>
        <v>0</v>
      </c>
      <c r="C211" s="366">
        <f>Fluxo_de_Caixa_Janeiro[[#This Row],[Janeiro]]</f>
        <v>0</v>
      </c>
      <c r="D211" s="367">
        <f>Fluxo_de_Caixa_Janeiro3[[#This Row],[Fevereiro]]</f>
        <v>0</v>
      </c>
      <c r="E211" s="367">
        <f>Fluxo_de_Caixa_Janeiro34[[#This Row],[Março]]</f>
        <v>0</v>
      </c>
      <c r="F211" s="367"/>
      <c r="G211" s="367"/>
      <c r="H211" s="367"/>
      <c r="I211" s="366"/>
      <c r="J211" s="367"/>
      <c r="K211" s="367"/>
      <c r="L211" s="367"/>
      <c r="M211" s="367"/>
      <c r="N211" s="368"/>
      <c r="O211" s="223">
        <f>SUM(Fluxo_de_Caixa_Janeiro31020[[#This Row],[Janeiro]:[Dezembro]])</f>
        <v>0</v>
      </c>
      <c r="P211" s="193">
        <f t="shared" si="12"/>
        <v>0</v>
      </c>
      <c r="Q211" s="547">
        <v>0</v>
      </c>
      <c r="R211" s="32" t="str">
        <f>IF(Fluxo_de_Caixa_Janeiro31020[[#This Row],[% ACUMULADO  1º Trimes 2026]]&lt;=Fluxo_de_Caixa_Janeiro31020[[#This Row],[% ACUMULADO  1º Trimes 2025]],"VERDADEIRO","FALSO")</f>
        <v>VERDADEIRO</v>
      </c>
      <c r="V211" s="515">
        <v>0</v>
      </c>
      <c r="W211" s="589">
        <v>0</v>
      </c>
    </row>
    <row r="212" spans="2:23" ht="19.5" thickBot="1" x14ac:dyDescent="0.35">
      <c r="B212" s="277" t="str">
        <f>Fluxo_de_Caixa_Janeiro[[#This Row],[Fluxo de Caixa 2026 CTR]]</f>
        <v>3.8. IMPOSTOS ADMINISTRATIVOS</v>
      </c>
      <c r="C212" s="158">
        <f>Fluxo_de_Caixa_Janeiro[[#This Row],[Janeiro]]</f>
        <v>-29.17</v>
      </c>
      <c r="D212" s="97">
        <f>Fluxo_de_Caixa_Janeiro3[[#This Row],[Fevereiro]]</f>
        <v>-386.46000000000004</v>
      </c>
      <c r="E212" s="97">
        <f>Fluxo_de_Caixa_Janeiro34[[#This Row],[Março]]</f>
        <v>0</v>
      </c>
      <c r="F212" s="97"/>
      <c r="G212" s="97"/>
      <c r="H212" s="97"/>
      <c r="I212" s="158"/>
      <c r="J212" s="97"/>
      <c r="K212" s="97"/>
      <c r="L212" s="97"/>
      <c r="M212" s="97"/>
      <c r="N212" s="129"/>
      <c r="O212" s="226">
        <f>SUM(Fluxo_de_Caixa_Janeiro31020[[#This Row],[Janeiro]:[Dezembro]])</f>
        <v>-415.63000000000005</v>
      </c>
      <c r="P212" s="144">
        <f>-IFERROR(C212/$C$27,"0,00")</f>
        <v>3.8912378088833431E-5</v>
      </c>
      <c r="Q212" s="549">
        <v>0</v>
      </c>
      <c r="R212" s="32" t="str">
        <f>IF(Fluxo_de_Caixa_Janeiro31020[[#This Row],[% ACUMULADO  1º Trimes 2026]]&lt;=Fluxo_de_Caixa_Janeiro31020[[#This Row],[% ACUMULADO  1º Trimes 2025]],"VERDADEIRO","FALSO")</f>
        <v>FALSO</v>
      </c>
      <c r="V212" s="518">
        <v>-830.34</v>
      </c>
      <c r="W212" s="592">
        <v>0</v>
      </c>
    </row>
    <row r="213" spans="2:23" hidden="1" x14ac:dyDescent="0.25">
      <c r="B213" s="390">
        <f>Fluxo_de_Caixa_Janeiro[[#This Row],[Fluxo de Caixa 2026 CTR]]</f>
        <v>0</v>
      </c>
      <c r="C213" s="369">
        <f>Fluxo_de_Caixa_Janeiro[[#This Row],[Janeiro]]</f>
        <v>0</v>
      </c>
      <c r="D213" s="370">
        <f>Fluxo_de_Caixa_Janeiro3[[#This Row],[Fevereiro]]</f>
        <v>0</v>
      </c>
      <c r="E213" s="370">
        <f>Fluxo_de_Caixa_Janeiro34[[#This Row],[Março]]</f>
        <v>0</v>
      </c>
      <c r="F213" s="370"/>
      <c r="G213" s="370"/>
      <c r="H213" s="370"/>
      <c r="I213" s="369"/>
      <c r="J213" s="370"/>
      <c r="K213" s="370"/>
      <c r="L213" s="370"/>
      <c r="M213" s="370"/>
      <c r="N213" s="371"/>
      <c r="O213" s="396">
        <f>SUM(Fluxo_de_Caixa_Janeiro31020[[#This Row],[Janeiro]:[Dezembro]])</f>
        <v>0</v>
      </c>
      <c r="P213" s="398"/>
      <c r="Q213" s="550"/>
      <c r="R213" s="32" t="str">
        <f>IF(Fluxo_de_Caixa_Janeiro31020[[#This Row],[% ACUMULADO  1º Trimes 2026]]&lt;=Fluxo_de_Caixa_Janeiro31020[[#This Row],[% ACUMULADO  1º Trimes 2025]],"VERDADEIRO","FALSO")</f>
        <v>VERDADEIRO</v>
      </c>
      <c r="V213" s="519">
        <v>0</v>
      </c>
      <c r="W213" s="593"/>
    </row>
    <row r="214" spans="2:23" hidden="1" x14ac:dyDescent="0.25">
      <c r="B214" s="378">
        <f>Fluxo_de_Caixa_Janeiro[[#This Row],[Fluxo de Caixa 2026 CTR]]</f>
        <v>0</v>
      </c>
      <c r="C214" s="357">
        <f>Fluxo_de_Caixa_Janeiro[[#This Row],[Janeiro]]</f>
        <v>0</v>
      </c>
      <c r="D214" s="306">
        <f>Fluxo_de_Caixa_Janeiro3[[#This Row],[Fevereiro]]</f>
        <v>0</v>
      </c>
      <c r="E214" s="306">
        <f>Fluxo_de_Caixa_Janeiro34[[#This Row],[Março]]</f>
        <v>0</v>
      </c>
      <c r="F214" s="306"/>
      <c r="G214" s="306"/>
      <c r="H214" s="306"/>
      <c r="I214" s="357"/>
      <c r="J214" s="306"/>
      <c r="K214" s="306"/>
      <c r="L214" s="306"/>
      <c r="M214" s="306"/>
      <c r="N214" s="306"/>
      <c r="O214" s="396">
        <f>SUM(Fluxo_de_Caixa_Janeiro31020[[#This Row],[Janeiro]:[Dezembro]])</f>
        <v>0</v>
      </c>
      <c r="P214" s="398"/>
      <c r="Q214" s="550"/>
      <c r="R214" s="32" t="str">
        <f>IF(Fluxo_de_Caixa_Janeiro31020[[#This Row],[% ACUMULADO  1º Trimes 2026]]&lt;=Fluxo_de_Caixa_Janeiro31020[[#This Row],[% ACUMULADO  1º Trimes 2025]],"VERDADEIRO","FALSO")</f>
        <v>VERDADEIRO</v>
      </c>
      <c r="V214" s="519">
        <v>0</v>
      </c>
      <c r="W214" s="593"/>
    </row>
    <row r="215" spans="2:23" x14ac:dyDescent="0.25">
      <c r="B215" s="378" t="str">
        <f>Fluxo_de_Caixa_Janeiro[[#This Row],[Fluxo de Caixa 2026 CTR]]</f>
        <v xml:space="preserve">3.8.03.ICMS-DIFERENCIAL DE ALIQUOTA </v>
      </c>
      <c r="C215" s="357">
        <f>Fluxo_de_Caixa_Janeiro[[#This Row],[Janeiro]]</f>
        <v>29.17</v>
      </c>
      <c r="D215" s="306">
        <f>Fluxo_de_Caixa_Janeiro3[[#This Row],[Fevereiro]]</f>
        <v>297.67</v>
      </c>
      <c r="E215" s="306">
        <f>Fluxo_de_Caixa_Janeiro34[[#This Row],[Março]]</f>
        <v>0</v>
      </c>
      <c r="F215" s="306"/>
      <c r="G215" s="306"/>
      <c r="H215" s="306"/>
      <c r="I215" s="357"/>
      <c r="J215" s="306"/>
      <c r="K215" s="306"/>
      <c r="L215" s="306"/>
      <c r="M215" s="306"/>
      <c r="N215" s="306"/>
      <c r="O215" s="396">
        <f>SUM(Fluxo_de_Caixa_Janeiro31020[[#This Row],[Janeiro]:[Dezembro]])</f>
        <v>326.84000000000003</v>
      </c>
      <c r="P215" s="193">
        <f>IFERROR(O215/$O$27,"0,00%")</f>
        <v>1.1364505595449104E-4</v>
      </c>
      <c r="Q215" s="550">
        <v>2.6959782823699131E-4</v>
      </c>
      <c r="R215" s="32" t="str">
        <f>IF(Fluxo_de_Caixa_Janeiro31020[[#This Row],[% ACUMULADO  1º Trimes 2026]]&lt;=Fluxo_de_Caixa_Janeiro31020[[#This Row],[% ACUMULADO  1º Trimes 2025]],"VERDADEIRO","FALSO")</f>
        <v>VERDADEIRO</v>
      </c>
      <c r="V215" s="519">
        <v>725.34</v>
      </c>
      <c r="W215" s="589">
        <v>2.6959782823699131E-4</v>
      </c>
    </row>
    <row r="216" spans="2:23" hidden="1" x14ac:dyDescent="0.25">
      <c r="B216" s="378">
        <f>Fluxo_de_Caixa_Janeiro[[#This Row],[Fluxo de Caixa 2026 CTR]]</f>
        <v>0</v>
      </c>
      <c r="C216" s="357">
        <f>Fluxo_de_Caixa_Janeiro[[#This Row],[Janeiro]]</f>
        <v>0</v>
      </c>
      <c r="D216" s="306">
        <f>Fluxo_de_Caixa_Janeiro3[[#This Row],[Fevereiro]]</f>
        <v>0</v>
      </c>
      <c r="E216" s="306">
        <f>Fluxo_de_Caixa_Janeiro34[[#This Row],[Março]]</f>
        <v>0</v>
      </c>
      <c r="F216" s="306"/>
      <c r="G216" s="306"/>
      <c r="H216" s="306"/>
      <c r="I216" s="357"/>
      <c r="J216" s="306"/>
      <c r="K216" s="306"/>
      <c r="L216" s="306"/>
      <c r="M216" s="306"/>
      <c r="N216" s="306"/>
      <c r="O216" s="396">
        <f>SUM(Fluxo_de_Caixa_Janeiro31020[[#This Row],[Janeiro]:[Dezembro]])</f>
        <v>0</v>
      </c>
      <c r="P216" s="193">
        <f t="shared" ref="P216:P228" si="13">IFERROR(O216/$O$27,"0,00%")</f>
        <v>0</v>
      </c>
      <c r="Q216" s="550">
        <v>0</v>
      </c>
      <c r="R216" s="32" t="str">
        <f>IF(Fluxo_de_Caixa_Janeiro31020[[#This Row],[% ACUMULADO  1º Trimes 2026]]&lt;=Fluxo_de_Caixa_Janeiro31020[[#This Row],[% ACUMULADO  1º Trimes 2025]],"VERDADEIRO","FALSO")</f>
        <v>VERDADEIRO</v>
      </c>
      <c r="V216" s="519">
        <v>0</v>
      </c>
      <c r="W216" s="589">
        <v>0</v>
      </c>
    </row>
    <row r="217" spans="2:23" x14ac:dyDescent="0.25">
      <c r="B217" s="378" t="str">
        <f>Fluxo_de_Caixa_Janeiro[[#This Row],[Fluxo de Caixa 2026 CTR]]</f>
        <v>3.8.05. IR</v>
      </c>
      <c r="C217" s="357">
        <f>Fluxo_de_Caixa_Janeiro[[#This Row],[Janeiro]]</f>
        <v>0</v>
      </c>
      <c r="D217" s="306">
        <f>Fluxo_de_Caixa_Janeiro3[[#This Row],[Fevereiro]]</f>
        <v>88.79</v>
      </c>
      <c r="E217" s="306">
        <f>Fluxo_de_Caixa_Janeiro34[[#This Row],[Março]]</f>
        <v>0</v>
      </c>
      <c r="F217" s="306"/>
      <c r="G217" s="306"/>
      <c r="H217" s="306"/>
      <c r="I217" s="357"/>
      <c r="J217" s="306"/>
      <c r="K217" s="306"/>
      <c r="L217" s="306"/>
      <c r="M217" s="306"/>
      <c r="N217" s="306"/>
      <c r="O217" s="396">
        <f>SUM(Fluxo_de_Caixa_Janeiro31020[[#This Row],[Janeiro]:[Dezembro]])</f>
        <v>88.79</v>
      </c>
      <c r="P217" s="193">
        <f t="shared" si="13"/>
        <v>3.087304038122402E-5</v>
      </c>
      <c r="Q217" s="550">
        <v>0</v>
      </c>
      <c r="R217" s="32" t="str">
        <f>IF(Fluxo_de_Caixa_Janeiro31020[[#This Row],[% ACUMULADO  1º Trimes 2026]]&lt;=Fluxo_de_Caixa_Janeiro31020[[#This Row],[% ACUMULADO  1º Trimes 2025]],"VERDADEIRO","FALSO")</f>
        <v>FALSO</v>
      </c>
      <c r="V217" s="519">
        <v>0</v>
      </c>
      <c r="W217" s="589">
        <v>0</v>
      </c>
    </row>
    <row r="218" spans="2:23" x14ac:dyDescent="0.25">
      <c r="B218" s="378" t="str">
        <f>Fluxo_de_Caixa_Janeiro[[#This Row],[Fluxo de Caixa 2026 CTR]]</f>
        <v>3.8.06. CSLL</v>
      </c>
      <c r="C218" s="357">
        <f>Fluxo_de_Caixa_Janeiro[[#This Row],[Janeiro]]</f>
        <v>0</v>
      </c>
      <c r="D218" s="306">
        <f>Fluxo_de_Caixa_Janeiro3[[#This Row],[Fevereiro]]</f>
        <v>0</v>
      </c>
      <c r="E218" s="306">
        <f>Fluxo_de_Caixa_Janeiro34[[#This Row],[Março]]</f>
        <v>0</v>
      </c>
      <c r="F218" s="306"/>
      <c r="G218" s="306"/>
      <c r="H218" s="306"/>
      <c r="I218" s="357"/>
      <c r="J218" s="306"/>
      <c r="K218" s="306"/>
      <c r="L218" s="306"/>
      <c r="M218" s="306"/>
      <c r="N218" s="306"/>
      <c r="O218" s="396">
        <f>SUM(Fluxo_de_Caixa_Janeiro31020[[#This Row],[Janeiro]:[Dezembro]])</f>
        <v>0</v>
      </c>
      <c r="P218" s="193">
        <f t="shared" si="13"/>
        <v>0</v>
      </c>
      <c r="Q218" s="550">
        <v>0</v>
      </c>
      <c r="R218" s="32" t="str">
        <f>IF(Fluxo_de_Caixa_Janeiro31020[[#This Row],[% ACUMULADO  1º Trimes 2026]]&lt;=Fluxo_de_Caixa_Janeiro31020[[#This Row],[% ACUMULADO  1º Trimes 2025]],"VERDADEIRO","FALSO")</f>
        <v>VERDADEIRO</v>
      </c>
      <c r="V218" s="519">
        <v>0</v>
      </c>
      <c r="W218" s="589">
        <v>0</v>
      </c>
    </row>
    <row r="219" spans="2:23" x14ac:dyDescent="0.25">
      <c r="B219" s="378" t="str">
        <f>Fluxo_de_Caixa_Janeiro[[#This Row],[Fluxo de Caixa 2026 CTR]]</f>
        <v>3.8.07. IPTU</v>
      </c>
      <c r="C219" s="357">
        <f>Fluxo_de_Caixa_Janeiro[[#This Row],[Janeiro]]</f>
        <v>0</v>
      </c>
      <c r="D219" s="306">
        <f>Fluxo_de_Caixa_Janeiro3[[#This Row],[Fevereiro]]</f>
        <v>0</v>
      </c>
      <c r="E219" s="306">
        <f>Fluxo_de_Caixa_Janeiro34[[#This Row],[Março]]</f>
        <v>0</v>
      </c>
      <c r="F219" s="306"/>
      <c r="G219" s="306"/>
      <c r="H219" s="306"/>
      <c r="I219" s="357"/>
      <c r="J219" s="306"/>
      <c r="K219" s="306"/>
      <c r="L219" s="306"/>
      <c r="M219" s="306"/>
      <c r="N219" s="306"/>
      <c r="O219" s="396">
        <f>SUM(Fluxo_de_Caixa_Janeiro31020[[#This Row],[Janeiro]:[Dezembro]])</f>
        <v>0</v>
      </c>
      <c r="P219" s="193">
        <f t="shared" si="13"/>
        <v>0</v>
      </c>
      <c r="Q219" s="550">
        <v>0</v>
      </c>
      <c r="R219" s="32" t="str">
        <f>IF(Fluxo_de_Caixa_Janeiro31020[[#This Row],[% ACUMULADO  1º Trimes 2026]]&lt;=Fluxo_de_Caixa_Janeiro31020[[#This Row],[% ACUMULADO  1º Trimes 2025]],"VERDADEIRO","FALSO")</f>
        <v>VERDADEIRO</v>
      </c>
      <c r="V219" s="519">
        <v>0</v>
      </c>
      <c r="W219" s="589">
        <v>0</v>
      </c>
    </row>
    <row r="220" spans="2:23" x14ac:dyDescent="0.25">
      <c r="B220" s="378" t="str">
        <f>Fluxo_de_Caixa_Janeiro[[#This Row],[Fluxo de Caixa 2026 CTR]]</f>
        <v>3.8.08.OUTROS TRIBUTOS MUNICIPAIS</v>
      </c>
      <c r="C220" s="357">
        <f>Fluxo_de_Caixa_Janeiro[[#This Row],[Janeiro]]</f>
        <v>0</v>
      </c>
      <c r="D220" s="306">
        <f>Fluxo_de_Caixa_Janeiro3[[#This Row],[Fevereiro]]</f>
        <v>0</v>
      </c>
      <c r="E220" s="306">
        <f>Fluxo_de_Caixa_Janeiro34[[#This Row],[Março]]</f>
        <v>0</v>
      </c>
      <c r="F220" s="306"/>
      <c r="G220" s="306"/>
      <c r="H220" s="306"/>
      <c r="I220" s="357"/>
      <c r="J220" s="306"/>
      <c r="K220" s="306"/>
      <c r="L220" s="306"/>
      <c r="M220" s="306"/>
      <c r="N220" s="306"/>
      <c r="O220" s="396">
        <f>SUM(Fluxo_de_Caixa_Janeiro31020[[#This Row],[Janeiro]:[Dezembro]])</f>
        <v>0</v>
      </c>
      <c r="P220" s="193">
        <f t="shared" si="13"/>
        <v>0</v>
      </c>
      <c r="Q220" s="550">
        <v>0</v>
      </c>
      <c r="R220" s="32" t="str">
        <f>IF(Fluxo_de_Caixa_Janeiro31020[[#This Row],[% ACUMULADO  1º Trimes 2026]]&lt;=Fluxo_de_Caixa_Janeiro31020[[#This Row],[% ACUMULADO  1º Trimes 2025]],"VERDADEIRO","FALSO")</f>
        <v>VERDADEIRO</v>
      </c>
      <c r="V220" s="519">
        <v>0</v>
      </c>
      <c r="W220" s="589">
        <v>0</v>
      </c>
    </row>
    <row r="221" spans="2:23" x14ac:dyDescent="0.25">
      <c r="B221" s="378" t="str">
        <f>Fluxo_de_Caixa_Janeiro[[#This Row],[Fluxo de Caixa 2026 CTR]]</f>
        <v>3.8.09.OUTROS TRIBUTOS ESTADUAIS</v>
      </c>
      <c r="C221" s="357">
        <f>Fluxo_de_Caixa_Janeiro[[#This Row],[Janeiro]]</f>
        <v>0</v>
      </c>
      <c r="D221" s="306">
        <f>Fluxo_de_Caixa_Janeiro3[[#This Row],[Fevereiro]]</f>
        <v>0</v>
      </c>
      <c r="E221" s="306">
        <f>Fluxo_de_Caixa_Janeiro34[[#This Row],[Março]]</f>
        <v>0</v>
      </c>
      <c r="F221" s="306"/>
      <c r="G221" s="306"/>
      <c r="H221" s="306"/>
      <c r="I221" s="357"/>
      <c r="J221" s="306"/>
      <c r="K221" s="306"/>
      <c r="L221" s="306"/>
      <c r="M221" s="306"/>
      <c r="N221" s="306"/>
      <c r="O221" s="396">
        <f>SUM(Fluxo_de_Caixa_Janeiro31020[[#This Row],[Janeiro]:[Dezembro]])</f>
        <v>0</v>
      </c>
      <c r="P221" s="193">
        <f t="shared" si="13"/>
        <v>0</v>
      </c>
      <c r="Q221" s="550">
        <v>3.9026900439633943E-5</v>
      </c>
      <c r="R221" s="32" t="str">
        <f>IF(Fluxo_de_Caixa_Janeiro31020[[#This Row],[% ACUMULADO  1º Trimes 2026]]&lt;=Fluxo_de_Caixa_Janeiro31020[[#This Row],[% ACUMULADO  1º Trimes 2025]],"VERDADEIRO","FALSO")</f>
        <v>VERDADEIRO</v>
      </c>
      <c r="V221" s="519">
        <v>105</v>
      </c>
      <c r="W221" s="589">
        <v>3.9026900439633943E-5</v>
      </c>
    </row>
    <row r="222" spans="2:23" x14ac:dyDescent="0.25">
      <c r="B222" s="378" t="str">
        <f>Fluxo_de_Caixa_Janeiro[[#This Row],[Fluxo de Caixa 2026 CTR]]</f>
        <v>3.8.10.OUTROS TRIBUTOS FEDERAIS</v>
      </c>
      <c r="C222" s="357">
        <f>Fluxo_de_Caixa_Janeiro[[#This Row],[Janeiro]]</f>
        <v>0</v>
      </c>
      <c r="D222" s="306">
        <f>Fluxo_de_Caixa_Janeiro3[[#This Row],[Fevereiro]]</f>
        <v>0</v>
      </c>
      <c r="E222" s="306">
        <f>Fluxo_de_Caixa_Janeiro34[[#This Row],[Março]]</f>
        <v>0</v>
      </c>
      <c r="F222" s="306"/>
      <c r="G222" s="306"/>
      <c r="H222" s="306"/>
      <c r="I222" s="357"/>
      <c r="J222" s="306"/>
      <c r="K222" s="306"/>
      <c r="L222" s="306"/>
      <c r="M222" s="306"/>
      <c r="N222" s="306"/>
      <c r="O222" s="396">
        <f>SUM(Fluxo_de_Caixa_Janeiro31020[[#This Row],[Janeiro]:[Dezembro]])</f>
        <v>0</v>
      </c>
      <c r="P222" s="193">
        <f t="shared" si="13"/>
        <v>0</v>
      </c>
      <c r="Q222" s="550">
        <v>0</v>
      </c>
      <c r="R222" s="32" t="str">
        <f>IF(Fluxo_de_Caixa_Janeiro31020[[#This Row],[% ACUMULADO  1º Trimes 2026]]&lt;=Fluxo_de_Caixa_Janeiro31020[[#This Row],[% ACUMULADO  1º Trimes 2025]],"VERDADEIRO","FALSO")</f>
        <v>VERDADEIRO</v>
      </c>
      <c r="V222" s="519">
        <v>0</v>
      </c>
      <c r="W222" s="589">
        <v>0</v>
      </c>
    </row>
    <row r="223" spans="2:23" x14ac:dyDescent="0.25">
      <c r="B223" s="378" t="str">
        <f>Fluxo_de_Caixa_Janeiro[[#This Row],[Fluxo de Caixa 2026 CTR]]</f>
        <v>3.8.11. IRRF S/ SERVIÇO DE TERCEIRO</v>
      </c>
      <c r="C223" s="357">
        <f>Fluxo_de_Caixa_Janeiro[[#This Row],[Janeiro]]</f>
        <v>0</v>
      </c>
      <c r="D223" s="306">
        <f>Fluxo_de_Caixa_Janeiro3[[#This Row],[Fevereiro]]</f>
        <v>0</v>
      </c>
      <c r="E223" s="306">
        <f>Fluxo_de_Caixa_Janeiro34[[#This Row],[Março]]</f>
        <v>0</v>
      </c>
      <c r="F223" s="306"/>
      <c r="G223" s="306"/>
      <c r="H223" s="306"/>
      <c r="I223" s="357"/>
      <c r="J223" s="306"/>
      <c r="K223" s="306"/>
      <c r="L223" s="306"/>
      <c r="M223" s="306"/>
      <c r="N223" s="306"/>
      <c r="O223" s="396">
        <f>SUM(Fluxo_de_Caixa_Janeiro31020[[#This Row],[Janeiro]:[Dezembro]])</f>
        <v>0</v>
      </c>
      <c r="P223" s="193">
        <f t="shared" si="13"/>
        <v>0</v>
      </c>
      <c r="Q223" s="550">
        <v>0</v>
      </c>
      <c r="R223" s="32" t="str">
        <f>IF(Fluxo_de_Caixa_Janeiro31020[[#This Row],[% ACUMULADO  1º Trimes 2026]]&lt;=Fluxo_de_Caixa_Janeiro31020[[#This Row],[% ACUMULADO  1º Trimes 2025]],"VERDADEIRO","FALSO")</f>
        <v>VERDADEIRO</v>
      </c>
      <c r="V223" s="519">
        <v>0</v>
      </c>
      <c r="W223" s="589">
        <v>0</v>
      </c>
    </row>
    <row r="224" spans="2:23" x14ac:dyDescent="0.25">
      <c r="B224" s="378" t="str">
        <f>Fluxo_de_Caixa_Janeiro[[#This Row],[Fluxo de Caixa 2026 CTR]]</f>
        <v>3.8.12.MULTA S/ INFRACOES FISCAIS</v>
      </c>
      <c r="C224" s="357">
        <f>Fluxo_de_Caixa_Janeiro[[#This Row],[Janeiro]]</f>
        <v>0</v>
      </c>
      <c r="D224" s="306">
        <f>Fluxo_de_Caixa_Janeiro3[[#This Row],[Fevereiro]]</f>
        <v>0</v>
      </c>
      <c r="E224" s="306">
        <f>Fluxo_de_Caixa_Janeiro34[[#This Row],[Março]]</f>
        <v>0</v>
      </c>
      <c r="F224" s="306"/>
      <c r="G224" s="306"/>
      <c r="H224" s="306"/>
      <c r="I224" s="357"/>
      <c r="J224" s="306"/>
      <c r="K224" s="306"/>
      <c r="L224" s="306"/>
      <c r="M224" s="306"/>
      <c r="N224" s="306"/>
      <c r="O224" s="396">
        <f>SUM(Fluxo_de_Caixa_Janeiro31020[[#This Row],[Janeiro]:[Dezembro]])</f>
        <v>0</v>
      </c>
      <c r="P224" s="193">
        <f t="shared" si="13"/>
        <v>0</v>
      </c>
      <c r="Q224" s="550">
        <v>0</v>
      </c>
      <c r="R224" s="32" t="str">
        <f>IF(Fluxo_de_Caixa_Janeiro31020[[#This Row],[% ACUMULADO  1º Trimes 2026]]&lt;=Fluxo_de_Caixa_Janeiro31020[[#This Row],[% ACUMULADO  1º Trimes 2025]],"VERDADEIRO","FALSO")</f>
        <v>VERDADEIRO</v>
      </c>
      <c r="V224" s="519">
        <v>0</v>
      </c>
      <c r="W224" s="589">
        <v>0</v>
      </c>
    </row>
    <row r="225" spans="2:26" x14ac:dyDescent="0.25">
      <c r="B225" s="378" t="str">
        <f>Fluxo_de_Caixa_Janeiro[[#This Row],[Fluxo de Caixa 2026 CTR]]</f>
        <v>3.8.13.MULTA ATRASO PAGTO TRIBUTOS</v>
      </c>
      <c r="C225" s="357">
        <f>Fluxo_de_Caixa_Janeiro[[#This Row],[Janeiro]]</f>
        <v>0</v>
      </c>
      <c r="D225" s="306">
        <f>Fluxo_de_Caixa_Janeiro3[[#This Row],[Fevereiro]]</f>
        <v>0</v>
      </c>
      <c r="E225" s="306">
        <f>Fluxo_de_Caixa_Janeiro34[[#This Row],[Março]]</f>
        <v>0</v>
      </c>
      <c r="F225" s="306"/>
      <c r="G225" s="306"/>
      <c r="H225" s="306"/>
      <c r="I225" s="357"/>
      <c r="J225" s="306"/>
      <c r="K225" s="306"/>
      <c r="L225" s="306"/>
      <c r="M225" s="306"/>
      <c r="N225" s="306"/>
      <c r="O225" s="396">
        <f>SUM(Fluxo_de_Caixa_Janeiro31020[[#This Row],[Janeiro]:[Dezembro]])</f>
        <v>0</v>
      </c>
      <c r="P225" s="193">
        <f t="shared" si="13"/>
        <v>0</v>
      </c>
      <c r="Q225" s="550">
        <v>0</v>
      </c>
      <c r="R225" s="32" t="str">
        <f>IF(Fluxo_de_Caixa_Janeiro31020[[#This Row],[% ACUMULADO  1º Trimes 2026]]&lt;=Fluxo_de_Caixa_Janeiro31020[[#This Row],[% ACUMULADO  1º Trimes 2025]],"VERDADEIRO","FALSO")</f>
        <v>VERDADEIRO</v>
      </c>
      <c r="V225" s="519">
        <v>0</v>
      </c>
      <c r="W225" s="589">
        <v>0</v>
      </c>
    </row>
    <row r="226" spans="2:26" hidden="1" x14ac:dyDescent="0.25">
      <c r="B226" s="378">
        <f>Fluxo_de_Caixa_Janeiro[[#This Row],[Fluxo de Caixa 2026 CTR]]</f>
        <v>0</v>
      </c>
      <c r="C226" s="357">
        <f>Fluxo_de_Caixa_Janeiro[[#This Row],[Janeiro]]</f>
        <v>0</v>
      </c>
      <c r="D226" s="306">
        <f>Fluxo_de_Caixa_Janeiro3[[#This Row],[Fevereiro]]</f>
        <v>0</v>
      </c>
      <c r="E226" s="306">
        <f>Fluxo_de_Caixa_Janeiro34[[#This Row],[Março]]</f>
        <v>0</v>
      </c>
      <c r="F226" s="306"/>
      <c r="G226" s="306"/>
      <c r="H226" s="306"/>
      <c r="I226" s="357"/>
      <c r="J226" s="306"/>
      <c r="K226" s="306"/>
      <c r="L226" s="306"/>
      <c r="M226" s="306"/>
      <c r="N226" s="306"/>
      <c r="O226" s="396">
        <f>SUM(Fluxo_de_Caixa_Janeiro31020[[#This Row],[Janeiro]:[Dezembro]])</f>
        <v>0</v>
      </c>
      <c r="P226" s="193">
        <f t="shared" si="13"/>
        <v>0</v>
      </c>
      <c r="Q226" s="550">
        <v>0</v>
      </c>
      <c r="R226" s="32" t="str">
        <f>IF(Fluxo_de_Caixa_Janeiro31020[[#This Row],[% ACUMULADO  1º Trimes 2026]]&lt;=Fluxo_de_Caixa_Janeiro31020[[#This Row],[% ACUMULADO  1º Trimes 2025]],"VERDADEIRO","FALSO")</f>
        <v>VERDADEIRO</v>
      </c>
      <c r="V226" s="519">
        <v>0</v>
      </c>
      <c r="W226" s="589">
        <v>0</v>
      </c>
    </row>
    <row r="227" spans="2:26" hidden="1" x14ac:dyDescent="0.25">
      <c r="B227" s="378">
        <f>Fluxo_de_Caixa_Janeiro[[#This Row],[Fluxo de Caixa 2026 CTR]]</f>
        <v>0</v>
      </c>
      <c r="C227" s="357">
        <f>Fluxo_de_Caixa_Janeiro[[#This Row],[Janeiro]]</f>
        <v>0</v>
      </c>
      <c r="D227" s="306">
        <f>Fluxo_de_Caixa_Janeiro3[[#This Row],[Fevereiro]]</f>
        <v>0</v>
      </c>
      <c r="E227" s="306">
        <f>Fluxo_de_Caixa_Janeiro34[[#This Row],[Março]]</f>
        <v>0</v>
      </c>
      <c r="F227" s="306"/>
      <c r="G227" s="306"/>
      <c r="H227" s="306"/>
      <c r="I227" s="357"/>
      <c r="J227" s="306"/>
      <c r="K227" s="306"/>
      <c r="L227" s="306"/>
      <c r="M227" s="306"/>
      <c r="N227" s="306"/>
      <c r="O227" s="396">
        <f>SUM(Fluxo_de_Caixa_Janeiro31020[[#This Row],[Janeiro]:[Dezembro]])</f>
        <v>0</v>
      </c>
      <c r="P227" s="193">
        <f t="shared" si="13"/>
        <v>0</v>
      </c>
      <c r="Q227" s="550">
        <v>0</v>
      </c>
      <c r="R227" s="32" t="str">
        <f>IF(Fluxo_de_Caixa_Janeiro31020[[#This Row],[% ACUMULADO  1º Trimes 2026]]&lt;=Fluxo_de_Caixa_Janeiro31020[[#This Row],[% ACUMULADO  1º Trimes 2025]],"VERDADEIRO","FALSO")</f>
        <v>VERDADEIRO</v>
      </c>
      <c r="V227" s="519">
        <v>0</v>
      </c>
      <c r="W227" s="589">
        <v>0</v>
      </c>
    </row>
    <row r="228" spans="2:26" ht="15.75" thickBot="1" x14ac:dyDescent="0.3">
      <c r="B228" s="378" t="str">
        <f>Fluxo_de_Caixa_Janeiro[[#This Row],[Fluxo de Caixa 2026 CTR]]</f>
        <v>3.8.16. CRF Sobre Serviço</v>
      </c>
      <c r="C228" s="357">
        <f>Fluxo_de_Caixa_Janeiro[[#This Row],[Janeiro]]</f>
        <v>0</v>
      </c>
      <c r="D228" s="306">
        <f>Fluxo_de_Caixa_Janeiro3[[#This Row],[Fevereiro]]</f>
        <v>0</v>
      </c>
      <c r="E228" s="306">
        <f>Fluxo_de_Caixa_Janeiro34[[#This Row],[Março]]</f>
        <v>0</v>
      </c>
      <c r="F228" s="306"/>
      <c r="G228" s="306"/>
      <c r="H228" s="306"/>
      <c r="I228" s="357"/>
      <c r="J228" s="306"/>
      <c r="K228" s="306"/>
      <c r="L228" s="306"/>
      <c r="M228" s="306"/>
      <c r="N228" s="306"/>
      <c r="O228" s="396">
        <f>SUM(Fluxo_de_Caixa_Janeiro31020[[#This Row],[Janeiro]:[Dezembro]])</f>
        <v>0</v>
      </c>
      <c r="P228" s="193">
        <f t="shared" si="13"/>
        <v>0</v>
      </c>
      <c r="Q228" s="550">
        <v>0</v>
      </c>
      <c r="R228" s="32" t="str">
        <f>IF(Fluxo_de_Caixa_Janeiro31020[[#This Row],[% ACUMULADO  1º Trimes 2026]]&lt;=Fluxo_de_Caixa_Janeiro31020[[#This Row],[% ACUMULADO  1º Trimes 2025]],"VERDADEIRO","FALSO")</f>
        <v>VERDADEIRO</v>
      </c>
      <c r="V228" s="519">
        <v>0</v>
      </c>
      <c r="W228" s="589">
        <v>0</v>
      </c>
    </row>
    <row r="229" spans="2:26" hidden="1" x14ac:dyDescent="0.25">
      <c r="B229" s="378">
        <f>Fluxo_de_Caixa_Janeiro[[#This Row],[Fluxo de Caixa 2026 CTR]]</f>
        <v>0</v>
      </c>
      <c r="C229" s="357">
        <f>Fluxo_de_Caixa_Janeiro[[#This Row],[Janeiro]]</f>
        <v>0</v>
      </c>
      <c r="D229" s="306">
        <f>Fluxo_de_Caixa_Janeiro3[[#This Row],[Fevereiro]]</f>
        <v>0</v>
      </c>
      <c r="E229" s="306">
        <f>Fluxo_de_Caixa_Janeiro34[[#This Row],[Março]]</f>
        <v>0</v>
      </c>
      <c r="F229" s="306"/>
      <c r="G229" s="306"/>
      <c r="H229" s="306"/>
      <c r="I229" s="357"/>
      <c r="J229" s="306"/>
      <c r="K229" s="306"/>
      <c r="L229" s="306"/>
      <c r="M229" s="306"/>
      <c r="N229" s="306"/>
      <c r="O229" s="396">
        <f>SUM(Fluxo_de_Caixa_Janeiro31020[[#This Row],[Janeiro]:[Dezembro]])</f>
        <v>0</v>
      </c>
      <c r="P229" s="398"/>
      <c r="Q229" s="550"/>
      <c r="R229" s="32"/>
      <c r="V229" s="519">
        <v>0</v>
      </c>
      <c r="W229" s="593"/>
    </row>
    <row r="230" spans="2:26" ht="15.75" hidden="1" thickBot="1" x14ac:dyDescent="0.3">
      <c r="B230" s="389">
        <f>Fluxo_de_Caixa_Janeiro[[#This Row],[Fluxo de Caixa 2026 CTR]]</f>
        <v>0</v>
      </c>
      <c r="C230" s="366">
        <f>Fluxo_de_Caixa_Janeiro[[#This Row],[Janeiro]]</f>
        <v>0</v>
      </c>
      <c r="D230" s="367">
        <f>Fluxo_de_Caixa_Janeiro3[[#This Row],[Fevereiro]]</f>
        <v>0</v>
      </c>
      <c r="E230" s="367">
        <f>Fluxo_de_Caixa_Janeiro34[[#This Row],[Março]]</f>
        <v>0</v>
      </c>
      <c r="F230" s="367"/>
      <c r="G230" s="367"/>
      <c r="H230" s="367"/>
      <c r="I230" s="366"/>
      <c r="J230" s="367"/>
      <c r="K230" s="367"/>
      <c r="L230" s="367"/>
      <c r="M230" s="367"/>
      <c r="N230" s="368"/>
      <c r="O230" s="400">
        <f>SUM(Fluxo_de_Caixa_Janeiro31020[[#This Row],[Janeiro]:[Dezembro]])</f>
        <v>0</v>
      </c>
      <c r="P230" s="401"/>
      <c r="Q230" s="551"/>
      <c r="R230" s="32"/>
      <c r="V230" s="520">
        <v>0</v>
      </c>
      <c r="W230" s="594"/>
    </row>
    <row r="231" spans="2:26" ht="19.5" thickBot="1" x14ac:dyDescent="0.35">
      <c r="B231" s="277" t="str">
        <f>Fluxo_de_Caixa_Janeiro[[#This Row],[Fluxo de Caixa 2026 CTR]]</f>
        <v>3.9. PATROCINIO / BONIFICAÇÃO</v>
      </c>
      <c r="C231" s="158">
        <f>Fluxo_de_Caixa_Janeiro[[#This Row],[Janeiro]]</f>
        <v>-219.15</v>
      </c>
      <c r="D231" s="97">
        <f>Fluxo_de_Caixa_Janeiro3[[#This Row],[Fevereiro]]</f>
        <v>0</v>
      </c>
      <c r="E231" s="97">
        <f>Fluxo_de_Caixa_Janeiro34[[#This Row],[Março]]</f>
        <v>0</v>
      </c>
      <c r="F231" s="97"/>
      <c r="G231" s="97"/>
      <c r="H231" s="97"/>
      <c r="I231" s="158"/>
      <c r="J231" s="97"/>
      <c r="K231" s="97"/>
      <c r="L231" s="97"/>
      <c r="M231" s="97"/>
      <c r="N231" s="129"/>
      <c r="O231" s="226">
        <f>SUM(Fluxo_de_Caixa_Janeiro31020[[#This Row],[Janeiro]:[Dezembro]])</f>
        <v>-219.15</v>
      </c>
      <c r="P231" s="144">
        <f>-IFERROR(C231/$C$27,"0,00")</f>
        <v>2.9234308049941191E-4</v>
      </c>
      <c r="Q231" s="549">
        <v>1.9949542287676521E-3</v>
      </c>
      <c r="R231" s="32"/>
      <c r="V231" s="518">
        <v>-2474.36</v>
      </c>
      <c r="W231" s="592">
        <v>1.9949542287676521E-3</v>
      </c>
    </row>
    <row r="232" spans="2:26" x14ac:dyDescent="0.25">
      <c r="B232" s="378" t="str">
        <f>Fluxo_de_Caixa_Janeiro[[#This Row],[Fluxo de Caixa 2026 CTR]]</f>
        <v>3.9.01.PATROCÍNIO  EM DINHEIRO</v>
      </c>
      <c r="C232" s="366">
        <f>Fluxo_de_Caixa_Janeiro[[#This Row],[Janeiro]]</f>
        <v>0</v>
      </c>
      <c r="D232" s="367">
        <f>Fluxo_de_Caixa_Janeiro3[[#This Row],[Fevereiro]]</f>
        <v>0</v>
      </c>
      <c r="E232" s="367">
        <f>Fluxo_de_Caixa_Janeiro34[[#This Row],[Março]]</f>
        <v>0</v>
      </c>
      <c r="F232" s="367"/>
      <c r="G232" s="367"/>
      <c r="H232" s="367"/>
      <c r="I232" s="366"/>
      <c r="J232" s="367"/>
      <c r="K232" s="367"/>
      <c r="L232" s="367"/>
      <c r="M232" s="367"/>
      <c r="N232" s="368"/>
      <c r="O232" s="224">
        <f>SUM(Fluxo_de_Caixa_Janeiro31020[[#This Row],[Janeiro]:[Dezembro]])</f>
        <v>0</v>
      </c>
      <c r="P232" s="194">
        <f>IFERROR(O232/$O$27,"0,00%")</f>
        <v>0</v>
      </c>
      <c r="Q232" s="317">
        <v>5.5752714913762775E-4</v>
      </c>
      <c r="R232" s="32"/>
      <c r="V232" s="516">
        <v>1500</v>
      </c>
      <c r="W232" s="590">
        <v>5.5752714913762775E-4</v>
      </c>
    </row>
    <row r="233" spans="2:26" ht="15.75" thickBot="1" x14ac:dyDescent="0.3">
      <c r="B233" s="55" t="str">
        <f>Fluxo_de_Caixa_Janeiro[[#This Row],[Fluxo de Caixa 2026 CTR]]</f>
        <v>3.9.02.BONIFICAÇÃO EM PRODUTOS</v>
      </c>
      <c r="C233" s="35">
        <f>Fluxo_de_Caixa_Janeiro[[#This Row],[Janeiro]]</f>
        <v>219.15</v>
      </c>
      <c r="D233" s="62">
        <f>Fluxo_de_Caixa_Janeiro3[[#This Row],[Fevereiro]]</f>
        <v>0</v>
      </c>
      <c r="E233" s="62">
        <f>Fluxo_de_Caixa_Janeiro34[[#This Row],[Março]]</f>
        <v>0</v>
      </c>
      <c r="F233" s="62"/>
      <c r="G233" s="62"/>
      <c r="H233" s="62"/>
      <c r="I233" s="35"/>
      <c r="J233" s="62"/>
      <c r="K233" s="62"/>
      <c r="L233" s="62"/>
      <c r="M233" s="62"/>
      <c r="N233" s="119"/>
      <c r="O233" s="224">
        <f>SUM(Fluxo_de_Caixa_Janeiro31020[[#This Row],[Janeiro]:[Dezembro]])</f>
        <v>219.15</v>
      </c>
      <c r="P233" s="194">
        <f>IFERROR(O233/$O$27,"0,00%")</f>
        <v>7.6200324355729743E-5</v>
      </c>
      <c r="Q233" s="317">
        <v>3.6215476868915937E-4</v>
      </c>
      <c r="R233" s="32" t="str">
        <f>IF(Fluxo_de_Caixa_Janeiro31020[[#This Row],[% ACUMULADO  1º Trimes 2026]]&lt;=Fluxo_de_Caixa_Janeiro31020[[#This Row],[% ACUMULADO  1º Trimes 2025]],"VERDADEIRO","FALSO")</f>
        <v>VERDADEIRO</v>
      </c>
      <c r="V233" s="516">
        <v>974.36</v>
      </c>
      <c r="W233" s="590">
        <v>3.6215476868915937E-4</v>
      </c>
    </row>
    <row r="234" spans="2:26" hidden="1" x14ac:dyDescent="0.25">
      <c r="B234" s="55">
        <f>Fluxo_de_Caixa_Janeiro[[#This Row],[Fluxo de Caixa 2026 CTR]]</f>
        <v>0</v>
      </c>
      <c r="C234" s="35">
        <f>Fluxo_de_Caixa_Janeiro[[#This Row],[Janeiro]]</f>
        <v>0</v>
      </c>
      <c r="D234" s="62">
        <f>Fluxo_de_Caixa_Janeiro3[[#This Row],[Fevereiro]]</f>
        <v>0</v>
      </c>
      <c r="E234" s="62">
        <f>Fluxo_de_Caixa_Janeiro34[[#This Row],[Março]]</f>
        <v>0</v>
      </c>
      <c r="F234" s="62"/>
      <c r="G234" s="62"/>
      <c r="H234" s="62"/>
      <c r="I234" s="35"/>
      <c r="J234" s="62"/>
      <c r="K234" s="62"/>
      <c r="L234" s="62"/>
      <c r="M234" s="62"/>
      <c r="N234" s="119"/>
      <c r="O234" s="224">
        <f>SUM(Fluxo_de_Caixa_Janeiro31020[[#This Row],[Janeiro]:[Dezembro]])</f>
        <v>0</v>
      </c>
      <c r="P234" s="194">
        <f>IFERROR(O234/$O$27,"0,00%")</f>
        <v>0</v>
      </c>
      <c r="Q234" s="317">
        <v>0</v>
      </c>
      <c r="R234" s="32" t="str">
        <f>IF(Fluxo_de_Caixa_Janeiro31020[[#This Row],[% ACUMULADO  1º Trimes 2026]]&lt;=Fluxo_de_Caixa_Janeiro31020[[#This Row],[% ACUMULADO  1º Trimes 2025]],"VERDADEIRO","FALSO")</f>
        <v>VERDADEIRO</v>
      </c>
      <c r="V234" s="516">
        <v>0</v>
      </c>
      <c r="W234" s="590">
        <v>0</v>
      </c>
    </row>
    <row r="235" spans="2:26" ht="15.75" hidden="1" thickBot="1" x14ac:dyDescent="0.3">
      <c r="B235" s="276">
        <f>Fluxo_de_Caixa_Janeiro[[#This Row],[Fluxo de Caixa 2026 CTR]]</f>
        <v>0</v>
      </c>
      <c r="C235" s="36">
        <f>Fluxo_de_Caixa_Janeiro[[#This Row],[Janeiro]]</f>
        <v>0</v>
      </c>
      <c r="D235" s="82">
        <f>Fluxo_de_Caixa_Janeiro3[[#This Row],[Fevereiro]]</f>
        <v>0</v>
      </c>
      <c r="E235" s="82">
        <f>Fluxo_de_Caixa_Janeiro34[[#This Row],[Março]]</f>
        <v>0</v>
      </c>
      <c r="F235" s="82"/>
      <c r="G235" s="82"/>
      <c r="H235" s="82"/>
      <c r="I235" s="36"/>
      <c r="J235" s="82"/>
      <c r="K235" s="82"/>
      <c r="L235" s="82"/>
      <c r="M235" s="82"/>
      <c r="N235" s="120"/>
      <c r="O235" s="225">
        <f>SUM(Fluxo_de_Caixa_Janeiro31020[[#This Row],[Janeiro]:[Dezembro]])</f>
        <v>0</v>
      </c>
      <c r="P235" s="195">
        <f>IFERROR(O235/$O$27,"0,00%")</f>
        <v>0</v>
      </c>
      <c r="Q235" s="548">
        <v>0</v>
      </c>
      <c r="R235" s="32" t="str">
        <f>IF(Fluxo_de_Caixa_Janeiro31020[[#This Row],[% ACUMULADO  1º Trimes 2026]]&lt;=Fluxo_de_Caixa_Janeiro31020[[#This Row],[% ACUMULADO  1º Trimes 2025]],"VERDADEIRO","FALSO")</f>
        <v>VERDADEIRO</v>
      </c>
      <c r="V235" s="517">
        <v>0</v>
      </c>
      <c r="W235" s="591">
        <v>0</v>
      </c>
    </row>
    <row r="236" spans="2:26" ht="27.6" customHeight="1" thickBot="1" x14ac:dyDescent="0.4">
      <c r="B236" s="170" t="str">
        <f>Fluxo_de_Caixa_Janeiro[[#This Row],[Fluxo de Caixa 2026 CTR]]</f>
        <v>Total das Despesas Operacionais</v>
      </c>
      <c r="C236" s="159">
        <f>Fluxo_de_Caixa_Janeiro[[#This Row],[Janeiro]]</f>
        <v>-235477.94999999998</v>
      </c>
      <c r="D236" s="100">
        <f>Fluxo_de_Caixa_Janeiro3[[#This Row],[Fevereiro]]</f>
        <v>-271282.99000000005</v>
      </c>
      <c r="E236" s="100">
        <f>Fluxo_de_Caixa_Janeiro34[[#This Row],[Março]]</f>
        <v>-310909.96999999997</v>
      </c>
      <c r="F236" s="100"/>
      <c r="G236" s="100"/>
      <c r="H236" s="100"/>
      <c r="I236" s="159"/>
      <c r="J236" s="100"/>
      <c r="K236" s="100"/>
      <c r="L236" s="100"/>
      <c r="M236" s="100"/>
      <c r="N236" s="130"/>
      <c r="O236" s="227">
        <f>SUM(Fluxo_de_Caixa_Janeiro31020[[#This Row],[Janeiro]:[Dezembro]])</f>
        <v>-817670.91</v>
      </c>
      <c r="P236" s="196">
        <f>IFERROR(O236/O27,"0,00%")</f>
        <v>-0.2843111501631061</v>
      </c>
      <c r="Q236" s="552">
        <v>-0.22710858384632587</v>
      </c>
      <c r="R236" s="32" t="str">
        <f>IF(Fluxo_de_Caixa_Janeiro31020[[#This Row],[% ACUMULADO  1º Trimes 2026]]&gt;=Fluxo_de_Caixa_Janeiro31020[[#This Row],[% ACUMULADO  1º Trimes 2025]],"VERDADEIRO","FALSO")</f>
        <v>FALSO</v>
      </c>
      <c r="V236" s="521">
        <v>-611024.7300000001</v>
      </c>
      <c r="W236" s="595">
        <v>-0.22710858384632587</v>
      </c>
    </row>
    <row r="237" spans="2:26" ht="27" thickBot="1" x14ac:dyDescent="0.45">
      <c r="B237" s="171" t="str">
        <f>Fluxo_de_Caixa_Janeiro[[#This Row],[Fluxo de Caixa 2026 CTR]]</f>
        <v>Saldo Operacional Liquido</v>
      </c>
      <c r="C237" s="160">
        <f>Fluxo_de_Caixa_Janeiro[[#This Row],[Janeiro]]</f>
        <v>-4474.2400000000198</v>
      </c>
      <c r="D237" s="102">
        <f>Fluxo_de_Caixa_Janeiro3[[#This Row],[Fevereiro]]</f>
        <v>113533.4599999999</v>
      </c>
      <c r="E237" s="102">
        <f>Fluxo_de_Caixa_Janeiro34[[#This Row],[Março]]</f>
        <v>246789.71999999997</v>
      </c>
      <c r="F237" s="102"/>
      <c r="G237" s="102"/>
      <c r="H237" s="102"/>
      <c r="I237" s="160"/>
      <c r="J237" s="102"/>
      <c r="K237" s="102"/>
      <c r="L237" s="102"/>
      <c r="M237" s="102"/>
      <c r="N237" s="131"/>
      <c r="O237" s="228">
        <f>SUM(Fluxo_de_Caixa_Janeiro31020[[#This Row],[Janeiro]:[Dezembro]])</f>
        <v>355848.93999999983</v>
      </c>
      <c r="P237" s="197">
        <f>IFERROR(O237/O27,"0,00%")</f>
        <v>0.12373171183957379</v>
      </c>
      <c r="Q237" s="553">
        <v>3.9351734340959781E-2</v>
      </c>
      <c r="R237" s="32" t="str">
        <f>IF(Fluxo_de_Caixa_Janeiro31020[[#This Row],[% ACUMULADO  1º Trimes 2026]]&gt;=Fluxo_de_Caixa_Janeiro31020[[#This Row],[% ACUMULADO  1º Trimes 2025]],"VERDADEIRO","FALSO")</f>
        <v>VERDADEIRO</v>
      </c>
      <c r="S237" s="1"/>
      <c r="T237" s="1"/>
      <c r="U237" s="1"/>
      <c r="V237" s="522">
        <v>105873.94999999987</v>
      </c>
      <c r="W237" s="596">
        <v>3.9351734340959781E-2</v>
      </c>
      <c r="X237" s="1"/>
      <c r="Y237" s="1"/>
      <c r="Z237" s="1"/>
    </row>
    <row r="238" spans="2:26" s="1" customFormat="1" ht="24" thickBot="1" x14ac:dyDescent="0.4">
      <c r="B238" s="172" t="str">
        <f>Fluxo_de_Caixa_Janeiro[[#This Row],[Fluxo de Caixa 2026 CTR]]</f>
        <v>Receitas Não Operacionais Totais</v>
      </c>
      <c r="C238" s="161">
        <f>Fluxo_de_Caixa_Janeiro[[#This Row],[Janeiro]]</f>
        <v>1301.98</v>
      </c>
      <c r="D238" s="103">
        <f>Fluxo_de_Caixa_Janeiro3[[#This Row],[Fevereiro]]</f>
        <v>73.570000000000007</v>
      </c>
      <c r="E238" s="103">
        <f>Fluxo_de_Caixa_Janeiro34[[#This Row],[Março]]</f>
        <v>830432.22</v>
      </c>
      <c r="F238" s="103"/>
      <c r="G238" s="103"/>
      <c r="H238" s="103"/>
      <c r="I238" s="161"/>
      <c r="J238" s="103"/>
      <c r="K238" s="103"/>
      <c r="L238" s="103"/>
      <c r="M238" s="103"/>
      <c r="N238" s="132"/>
      <c r="O238" s="229">
        <f>SUM(Fluxo_de_Caixa_Janeiro31020[[#This Row],[Janeiro]:[Dezembro]])</f>
        <v>831807.77</v>
      </c>
      <c r="P238" s="145">
        <f>SUM(P239,P248,P261)</f>
        <v>0.22434120129971691</v>
      </c>
      <c r="Q238" s="554">
        <v>1.9578394416063055E-2</v>
      </c>
      <c r="R238" s="32" t="str">
        <f>IF(Fluxo_de_Caixa_Janeiro31020[[#This Row],[% ACUMULADO  1º Trimes 2026]]&gt;=Fluxo_de_Caixa_Janeiro31020[[#This Row],[% ACUMULADO  1º Trimes 2025]],"VERDADEIRO","FALSO")</f>
        <v>VERDADEIRO</v>
      </c>
      <c r="V238" s="523">
        <v>53726.61</v>
      </c>
      <c r="W238" s="597">
        <v>1.9578394416063055E-2</v>
      </c>
    </row>
    <row r="239" spans="2:26" s="1" customFormat="1" ht="24" thickBot="1" x14ac:dyDescent="0.4">
      <c r="B239" s="57" t="str">
        <f>Fluxo_de_Caixa_Janeiro[[#This Row],[Fluxo de Caixa 2026 CTR]]</f>
        <v>4.1. Receita de Empréstimo</v>
      </c>
      <c r="C239" s="44">
        <f>Fluxo_de_Caixa_Janeiro[[#This Row],[Janeiro]]</f>
        <v>0</v>
      </c>
      <c r="D239" s="85">
        <f>Fluxo_de_Caixa_Janeiro3[[#This Row],[Fevereiro]]</f>
        <v>0</v>
      </c>
      <c r="E239" s="85">
        <f>Fluxo_de_Caixa_Janeiro34[[#This Row],[Março]]</f>
        <v>830000</v>
      </c>
      <c r="F239" s="85"/>
      <c r="G239" s="85"/>
      <c r="H239" s="85"/>
      <c r="I239" s="44"/>
      <c r="J239" s="85"/>
      <c r="K239" s="85"/>
      <c r="L239" s="85"/>
      <c r="M239" s="85"/>
      <c r="N239" s="122"/>
      <c r="O239" s="212">
        <f>SUM(Fluxo_de_Caixa_Janeiro31020[[#This Row],[Janeiro]:[Dezembro]])</f>
        <v>830000</v>
      </c>
      <c r="P239" s="555">
        <f t="shared" ref="P239:P271" si="14">IF(O239=0,"0,00%",O239/$O$332)</f>
        <v>0.22385363998074342</v>
      </c>
      <c r="Q239" s="555" t="s">
        <v>240</v>
      </c>
      <c r="R239" s="32" t="str">
        <f>IF(Fluxo_de_Caixa_Janeiro31020[[#This Row],[% ACUMULADO  1º Trimes 2026]]&gt;=Fluxo_de_Caixa_Janeiro31020[[#This Row],[% ACUMULADO  1º Trimes 2025]],"VERDADEIRO","FALSO")</f>
        <v>FALSO</v>
      </c>
      <c r="V239" s="502">
        <v>0</v>
      </c>
      <c r="W239" s="612" t="s">
        <v>240</v>
      </c>
    </row>
    <row r="240" spans="2:26" x14ac:dyDescent="0.25">
      <c r="B240" s="49" t="str">
        <f>Fluxo_de_Caixa_Janeiro[[#This Row],[Fluxo de Caixa 2026 CTR]]</f>
        <v>4.1.01 Bancário</v>
      </c>
      <c r="C240" s="41">
        <f>Fluxo_de_Caixa_Janeiro[[#This Row],[Janeiro]]</f>
        <v>0</v>
      </c>
      <c r="D240" s="81">
        <f>Fluxo_de_Caixa_Janeiro3[[#This Row],[Fevereiro]]</f>
        <v>0</v>
      </c>
      <c r="E240" s="81">
        <f>Fluxo_de_Caixa_Janeiro34[[#This Row],[Março]]</f>
        <v>830000</v>
      </c>
      <c r="F240" s="81"/>
      <c r="G240" s="81"/>
      <c r="H240" s="81"/>
      <c r="I240" s="41"/>
      <c r="J240" s="81"/>
      <c r="K240" s="81"/>
      <c r="L240" s="81"/>
      <c r="M240" s="81"/>
      <c r="N240" s="118"/>
      <c r="O240" s="230">
        <f>SUM(Fluxo_de_Caixa_Janeiro31020[[#This Row],[Janeiro]:[Dezembro]])</f>
        <v>830000</v>
      </c>
      <c r="P240" s="29">
        <f t="shared" si="14"/>
        <v>0.22385363998074342</v>
      </c>
      <c r="Q240" s="29" t="s">
        <v>240</v>
      </c>
      <c r="R240" s="32" t="str">
        <f>IF(Fluxo_de_Caixa_Janeiro31020[[#This Row],[% ACUMULADO  1º Trimes 2026]]&gt;=Fluxo_de_Caixa_Janeiro31020[[#This Row],[% ACUMULADO  1º Trimes 2025]],"VERDADEIRO","FALSO")</f>
        <v>FALSO</v>
      </c>
      <c r="V240" s="524">
        <v>0</v>
      </c>
      <c r="W240" s="578" t="s">
        <v>240</v>
      </c>
    </row>
    <row r="241" spans="2:23" x14ac:dyDescent="0.25">
      <c r="B241" s="49" t="str">
        <f>Fluxo_de_Caixa_Janeiro[[#This Row],[Fluxo de Caixa 2026 CTR]]</f>
        <v>4.1.02 Financiamento</v>
      </c>
      <c r="C241" s="35">
        <f>Fluxo_de_Caixa_Janeiro[[#This Row],[Janeiro]]</f>
        <v>0</v>
      </c>
      <c r="D241" s="62">
        <f>Fluxo_de_Caixa_Janeiro3[[#This Row],[Fevereiro]]</f>
        <v>0</v>
      </c>
      <c r="E241" s="62">
        <f>Fluxo_de_Caixa_Janeiro34[[#This Row],[Março]]</f>
        <v>0</v>
      </c>
      <c r="F241" s="62"/>
      <c r="G241" s="62"/>
      <c r="H241" s="62"/>
      <c r="I241" s="35"/>
      <c r="J241" s="62"/>
      <c r="K241" s="62"/>
      <c r="L241" s="62"/>
      <c r="M241" s="62"/>
      <c r="N241" s="119"/>
      <c r="O241" s="231">
        <f>SUM(Fluxo_de_Caixa_Janeiro31020[[#This Row],[Janeiro]:[Dezembro]])</f>
        <v>0</v>
      </c>
      <c r="P241" s="140" t="str">
        <f t="shared" si="14"/>
        <v>0,00%</v>
      </c>
      <c r="Q241" s="140" t="s">
        <v>240</v>
      </c>
      <c r="R241" s="32" t="str">
        <f>IF(Fluxo_de_Caixa_Janeiro31020[[#This Row],[% ACUMULADO  1º Trimes 2026]]&gt;=Fluxo_de_Caixa_Janeiro31020[[#This Row],[% ACUMULADO  1º Trimes 2025]],"VERDADEIRO","FALSO")</f>
        <v>VERDADEIRO</v>
      </c>
      <c r="V241" s="525">
        <v>0</v>
      </c>
      <c r="W241" s="579" t="s">
        <v>240</v>
      </c>
    </row>
    <row r="242" spans="2:23" x14ac:dyDescent="0.25">
      <c r="B242" s="49" t="str">
        <f>Fluxo_de_Caixa_Janeiro[[#This Row],[Fluxo de Caixa 2026 CTR]]</f>
        <v>4.1.03 Entre Lojas do Grupo</v>
      </c>
      <c r="C242" s="35">
        <f>Fluxo_de_Caixa_Janeiro[[#This Row],[Janeiro]]</f>
        <v>0</v>
      </c>
      <c r="D242" s="62">
        <f>Fluxo_de_Caixa_Janeiro3[[#This Row],[Fevereiro]]</f>
        <v>0</v>
      </c>
      <c r="E242" s="62">
        <f>Fluxo_de_Caixa_Janeiro34[[#This Row],[Março]]</f>
        <v>0</v>
      </c>
      <c r="F242" s="62"/>
      <c r="G242" s="62"/>
      <c r="H242" s="62"/>
      <c r="I242" s="35"/>
      <c r="J242" s="62"/>
      <c r="K242" s="62"/>
      <c r="L242" s="62"/>
      <c r="M242" s="62"/>
      <c r="N242" s="119"/>
      <c r="O242" s="231">
        <f>SUM(Fluxo_de_Caixa_Janeiro31020[[#This Row],[Janeiro]:[Dezembro]])</f>
        <v>0</v>
      </c>
      <c r="P242" s="140" t="str">
        <f t="shared" si="14"/>
        <v>0,00%</v>
      </c>
      <c r="Q242" s="140" t="s">
        <v>240</v>
      </c>
      <c r="R242" s="32" t="str">
        <f>IF(Fluxo_de_Caixa_Janeiro31020[[#This Row],[% ACUMULADO  1º Trimes 2026]]&gt;=Fluxo_de_Caixa_Janeiro31020[[#This Row],[% ACUMULADO  1º Trimes 2025]],"VERDADEIRO","FALSO")</f>
        <v>VERDADEIRO</v>
      </c>
      <c r="V242" s="525">
        <v>0</v>
      </c>
      <c r="W242" s="579" t="s">
        <v>240</v>
      </c>
    </row>
    <row r="243" spans="2:23" ht="15.75" thickBot="1" x14ac:dyDescent="0.3">
      <c r="B243" s="56" t="str">
        <f>Fluxo_de_Caixa_Janeiro[[#This Row],[Fluxo de Caixa 2026 CTR]]</f>
        <v>4.1.04 Pessoa Física</v>
      </c>
      <c r="C243" s="35">
        <f>Fluxo_de_Caixa_Janeiro[[#This Row],[Janeiro]]</f>
        <v>0</v>
      </c>
      <c r="D243" s="62">
        <f>Fluxo_de_Caixa_Janeiro3[[#This Row],[Fevereiro]]</f>
        <v>0</v>
      </c>
      <c r="E243" s="62">
        <f>Fluxo_de_Caixa_Janeiro34[[#This Row],[Março]]</f>
        <v>0</v>
      </c>
      <c r="F243" s="62"/>
      <c r="G243" s="62"/>
      <c r="H243" s="62"/>
      <c r="I243" s="35"/>
      <c r="J243" s="62"/>
      <c r="K243" s="62"/>
      <c r="L243" s="62"/>
      <c r="M243" s="62"/>
      <c r="N243" s="119"/>
      <c r="O243" s="231">
        <f>SUM(Fluxo_de_Caixa_Janeiro31020[[#This Row],[Janeiro]:[Dezembro]])</f>
        <v>0</v>
      </c>
      <c r="P243" s="140" t="str">
        <f t="shared" si="14"/>
        <v>0,00%</v>
      </c>
      <c r="Q243" s="140" t="s">
        <v>240</v>
      </c>
      <c r="R243" s="32" t="str">
        <f>IF(Fluxo_de_Caixa_Janeiro31020[[#This Row],[% ACUMULADO  1º Trimes 2026]]&gt;=Fluxo_de_Caixa_Janeiro31020[[#This Row],[% ACUMULADO  1º Trimes 2025]],"VERDADEIRO","FALSO")</f>
        <v>VERDADEIRO</v>
      </c>
      <c r="V243" s="525">
        <v>0</v>
      </c>
      <c r="W243" s="579" t="s">
        <v>240</v>
      </c>
    </row>
    <row r="244" spans="2:23" hidden="1" x14ac:dyDescent="0.25">
      <c r="B244" s="50">
        <f>Fluxo_de_Caixa_Janeiro[[#This Row],[Fluxo de Caixa 2026 CTR]]</f>
        <v>0</v>
      </c>
      <c r="C244" s="35">
        <f>Fluxo_de_Caixa_Janeiro[[#This Row],[Janeiro]]</f>
        <v>0</v>
      </c>
      <c r="D244" s="62">
        <f>Fluxo_de_Caixa_Janeiro3[[#This Row],[Fevereiro]]</f>
        <v>0</v>
      </c>
      <c r="E244" s="62">
        <f>Fluxo_de_Caixa_Janeiro34[[#This Row],[Março]]</f>
        <v>0</v>
      </c>
      <c r="F244" s="62"/>
      <c r="G244" s="62"/>
      <c r="H244" s="62"/>
      <c r="I244" s="35"/>
      <c r="J244" s="62"/>
      <c r="K244" s="62"/>
      <c r="L244" s="62"/>
      <c r="M244" s="62"/>
      <c r="N244" s="119"/>
      <c r="O244" s="231">
        <f>SUM(Fluxo_de_Caixa_Janeiro31020[[#This Row],[Janeiro]:[Dezembro]])</f>
        <v>0</v>
      </c>
      <c r="P244" s="140" t="str">
        <f t="shared" si="14"/>
        <v>0,00%</v>
      </c>
      <c r="Q244" s="140" t="s">
        <v>240</v>
      </c>
      <c r="R244" s="32" t="str">
        <f>IF(Fluxo_de_Caixa_Janeiro31020[[#This Row],[% ACUMULADO  1º Trimes 2026]]&gt;=Fluxo_de_Caixa_Janeiro31020[[#This Row],[% ACUMULADO  1º Trimes 2025]],"VERDADEIRO","FALSO")</f>
        <v>VERDADEIRO</v>
      </c>
      <c r="V244" s="525">
        <v>0</v>
      </c>
      <c r="W244" s="579" t="s">
        <v>240</v>
      </c>
    </row>
    <row r="245" spans="2:23" hidden="1" x14ac:dyDescent="0.25">
      <c r="B245" s="50">
        <f>Fluxo_de_Caixa_Janeiro[[#This Row],[Fluxo de Caixa 2026 CTR]]</f>
        <v>0</v>
      </c>
      <c r="C245" s="35">
        <f>Fluxo_de_Caixa_Janeiro[[#This Row],[Janeiro]]</f>
        <v>0</v>
      </c>
      <c r="D245" s="62">
        <f>Fluxo_de_Caixa_Janeiro3[[#This Row],[Fevereiro]]</f>
        <v>0</v>
      </c>
      <c r="E245" s="62">
        <f>Fluxo_de_Caixa_Janeiro34[[#This Row],[Março]]</f>
        <v>0</v>
      </c>
      <c r="F245" s="62"/>
      <c r="G245" s="62"/>
      <c r="H245" s="62"/>
      <c r="I245" s="35"/>
      <c r="J245" s="62"/>
      <c r="K245" s="62"/>
      <c r="L245" s="62"/>
      <c r="M245" s="62"/>
      <c r="N245" s="119"/>
      <c r="O245" s="231">
        <f>SUM(Fluxo_de_Caixa_Janeiro31020[[#This Row],[Janeiro]:[Dezembro]])</f>
        <v>0</v>
      </c>
      <c r="P245" s="140" t="str">
        <f t="shared" si="14"/>
        <v>0,00%</v>
      </c>
      <c r="Q245" s="140" t="s">
        <v>240</v>
      </c>
      <c r="R245" s="32" t="str">
        <f>IF(Fluxo_de_Caixa_Janeiro31020[[#This Row],[% ACUMULADO  1º Trimes 2026]]&gt;=Fluxo_de_Caixa_Janeiro31020[[#This Row],[% ACUMULADO  1º Trimes 2025]],"VERDADEIRO","FALSO")</f>
        <v>VERDADEIRO</v>
      </c>
      <c r="V245" s="525">
        <v>0</v>
      </c>
      <c r="W245" s="579" t="s">
        <v>240</v>
      </c>
    </row>
    <row r="246" spans="2:23" hidden="1" x14ac:dyDescent="0.25">
      <c r="B246" s="50">
        <f>Fluxo_de_Caixa_Janeiro[[#This Row],[Fluxo de Caixa 2026 CTR]]</f>
        <v>0</v>
      </c>
      <c r="C246" s="35">
        <f>Fluxo_de_Caixa_Janeiro[[#This Row],[Janeiro]]</f>
        <v>0</v>
      </c>
      <c r="D246" s="62">
        <f>Fluxo_de_Caixa_Janeiro3[[#This Row],[Fevereiro]]</f>
        <v>0</v>
      </c>
      <c r="E246" s="62">
        <f>Fluxo_de_Caixa_Janeiro34[[#This Row],[Março]]</f>
        <v>0</v>
      </c>
      <c r="F246" s="62"/>
      <c r="G246" s="62"/>
      <c r="H246" s="62"/>
      <c r="I246" s="35"/>
      <c r="J246" s="62"/>
      <c r="K246" s="62"/>
      <c r="L246" s="62"/>
      <c r="M246" s="62"/>
      <c r="N246" s="119"/>
      <c r="O246" s="231">
        <f>SUM(Fluxo_de_Caixa_Janeiro31020[[#This Row],[Janeiro]:[Dezembro]])</f>
        <v>0</v>
      </c>
      <c r="P246" s="140" t="str">
        <f t="shared" si="14"/>
        <v>0,00%</v>
      </c>
      <c r="Q246" s="140" t="s">
        <v>240</v>
      </c>
      <c r="R246" s="32" t="str">
        <f>IF(Fluxo_de_Caixa_Janeiro31020[[#This Row],[% ACUMULADO  1º Trimes 2026]]&gt;=Fluxo_de_Caixa_Janeiro31020[[#This Row],[% ACUMULADO  1º Trimes 2025]],"VERDADEIRO","FALSO")</f>
        <v>VERDADEIRO</v>
      </c>
      <c r="V246" s="525">
        <v>0</v>
      </c>
      <c r="W246" s="579" t="s">
        <v>240</v>
      </c>
    </row>
    <row r="247" spans="2:23" ht="15.75" hidden="1" thickBot="1" x14ac:dyDescent="0.3">
      <c r="B247" s="58">
        <f>Fluxo_de_Caixa_Janeiro[[#This Row],[Fluxo de Caixa 2026 CTR]]</f>
        <v>0</v>
      </c>
      <c r="C247" s="36">
        <f>Fluxo_de_Caixa_Janeiro[[#This Row],[Janeiro]]</f>
        <v>0</v>
      </c>
      <c r="D247" s="82">
        <f>Fluxo_de_Caixa_Janeiro3[[#This Row],[Fevereiro]]</f>
        <v>0</v>
      </c>
      <c r="E247" s="82">
        <f>Fluxo_de_Caixa_Janeiro34[[#This Row],[Março]]</f>
        <v>0</v>
      </c>
      <c r="F247" s="82"/>
      <c r="G247" s="82"/>
      <c r="H247" s="82"/>
      <c r="I247" s="36"/>
      <c r="J247" s="82"/>
      <c r="K247" s="82"/>
      <c r="L247" s="82"/>
      <c r="M247" s="82"/>
      <c r="N247" s="120"/>
      <c r="O247" s="232">
        <f>SUM(Fluxo_de_Caixa_Janeiro31020[[#This Row],[Janeiro]:[Dezembro]])</f>
        <v>0</v>
      </c>
      <c r="P247" s="141" t="str">
        <f t="shared" si="14"/>
        <v>0,00%</v>
      </c>
      <c r="Q247" s="141" t="s">
        <v>240</v>
      </c>
      <c r="R247" s="32" t="str">
        <f>IF(Fluxo_de_Caixa_Janeiro31020[[#This Row],[% ACUMULADO  1º Trimes 2026]]&gt;=Fluxo_de_Caixa_Janeiro31020[[#This Row],[% ACUMULADO  1º Trimes 2025]],"VERDADEIRO","FALSO")</f>
        <v>VERDADEIRO</v>
      </c>
      <c r="V247" s="526">
        <v>0</v>
      </c>
      <c r="W247" s="580" t="s">
        <v>240</v>
      </c>
    </row>
    <row r="248" spans="2:23" s="1" customFormat="1" ht="24" thickBot="1" x14ac:dyDescent="0.4">
      <c r="B248" s="48" t="str">
        <f>Fluxo_de_Caixa_Janeiro[[#This Row],[Fluxo de Caixa 2026 CTR]]</f>
        <v>4.2. Receita de Investimento</v>
      </c>
      <c r="C248" s="38">
        <f>Fluxo_de_Caixa_Janeiro[[#This Row],[Janeiro]]</f>
        <v>0.4</v>
      </c>
      <c r="D248" s="87">
        <f>Fluxo_de_Caixa_Janeiro3[[#This Row],[Fevereiro]]</f>
        <v>1.56</v>
      </c>
      <c r="E248" s="87">
        <f>Fluxo_de_Caixa_Janeiro34[[#This Row],[Março]]</f>
        <v>1.84</v>
      </c>
      <c r="F248" s="87"/>
      <c r="G248" s="87"/>
      <c r="H248" s="87"/>
      <c r="I248" s="38"/>
      <c r="J248" s="87"/>
      <c r="K248" s="87"/>
      <c r="L248" s="87"/>
      <c r="M248" s="87"/>
      <c r="N248" s="125"/>
      <c r="O248" s="216">
        <f>SUM(Fluxo_de_Caixa_Janeiro31020[[#This Row],[Janeiro]:[Dezembro]])</f>
        <v>3.8</v>
      </c>
      <c r="P248" s="247">
        <f t="shared" si="14"/>
        <v>1.0248720866588253E-6</v>
      </c>
      <c r="Q248" s="247">
        <v>1.9278807495962683E-2</v>
      </c>
      <c r="R248" s="32" t="str">
        <f>IF(Fluxo_de_Caixa_Janeiro31020[[#This Row],[% ACUMULADO  1º Trimes 2026]]&gt;=Fluxo_de_Caixa_Janeiro31020[[#This Row],[% ACUMULADO  1º Trimes 2025]],"VERDADEIRO","FALSO")</f>
        <v>FALSO</v>
      </c>
      <c r="V248" s="507">
        <v>52904.49</v>
      </c>
      <c r="W248" s="598">
        <v>1.9278807495962683E-2</v>
      </c>
    </row>
    <row r="249" spans="2:23" x14ac:dyDescent="0.25">
      <c r="B249" s="49" t="str">
        <f>Fluxo_de_Caixa_Janeiro[[#This Row],[Fluxo de Caixa 2026 CTR]]</f>
        <v>4.2.01 Venda de Imóveis/terrenos</v>
      </c>
      <c r="C249" s="41">
        <f>Fluxo_de_Caixa_Janeiro[[#This Row],[Janeiro]]</f>
        <v>0</v>
      </c>
      <c r="D249" s="81">
        <f>Fluxo_de_Caixa_Janeiro3[[#This Row],[Fevereiro]]</f>
        <v>0</v>
      </c>
      <c r="E249" s="81">
        <f>Fluxo_de_Caixa_Janeiro34[[#This Row],[Março]]</f>
        <v>0</v>
      </c>
      <c r="F249" s="81"/>
      <c r="G249" s="81"/>
      <c r="H249" s="81"/>
      <c r="I249" s="41"/>
      <c r="J249" s="81"/>
      <c r="K249" s="81"/>
      <c r="L249" s="81"/>
      <c r="M249" s="81"/>
      <c r="N249" s="118"/>
      <c r="O249" s="230">
        <f>SUM(Fluxo_de_Caixa_Janeiro31020[[#This Row],[Janeiro]:[Dezembro]])</f>
        <v>0</v>
      </c>
      <c r="P249" s="29" t="str">
        <f t="shared" si="14"/>
        <v>0,00%</v>
      </c>
      <c r="Q249" s="29" t="s">
        <v>240</v>
      </c>
      <c r="R249" s="32" t="str">
        <f>IF(Fluxo_de_Caixa_Janeiro31020[[#This Row],[% ACUMULADO  1º Trimes 2026]]&gt;=Fluxo_de_Caixa_Janeiro31020[[#This Row],[% ACUMULADO  1º Trimes 2025]],"VERDADEIRO","FALSO")</f>
        <v>VERDADEIRO</v>
      </c>
      <c r="V249" s="524">
        <v>0</v>
      </c>
      <c r="W249" s="578" t="s">
        <v>240</v>
      </c>
    </row>
    <row r="250" spans="2:23" x14ac:dyDescent="0.25">
      <c r="B250" s="49" t="str">
        <f>Fluxo_de_Caixa_Janeiro[[#This Row],[Fluxo de Caixa 2026 CTR]]</f>
        <v xml:space="preserve">4.2.02 Venda de Veículos </v>
      </c>
      <c r="C250" s="35">
        <f>Fluxo_de_Caixa_Janeiro[[#This Row],[Janeiro]]</f>
        <v>0</v>
      </c>
      <c r="D250" s="62">
        <f>Fluxo_de_Caixa_Janeiro3[[#This Row],[Fevereiro]]</f>
        <v>0</v>
      </c>
      <c r="E250" s="62">
        <f>Fluxo_de_Caixa_Janeiro34[[#This Row],[Março]]</f>
        <v>0</v>
      </c>
      <c r="F250" s="62"/>
      <c r="G250" s="62"/>
      <c r="H250" s="62"/>
      <c r="I250" s="35"/>
      <c r="J250" s="62"/>
      <c r="K250" s="62"/>
      <c r="L250" s="62"/>
      <c r="M250" s="62"/>
      <c r="N250" s="119"/>
      <c r="O250" s="231">
        <f>SUM(Fluxo_de_Caixa_Janeiro31020[[#This Row],[Janeiro]:[Dezembro]])</f>
        <v>0</v>
      </c>
      <c r="P250" s="140" t="str">
        <f t="shared" si="14"/>
        <v>0,00%</v>
      </c>
      <c r="Q250" s="140" t="s">
        <v>240</v>
      </c>
      <c r="R250" s="32" t="str">
        <f>IF(Fluxo_de_Caixa_Janeiro31020[[#This Row],[% ACUMULADO  1º Trimes 2026]]&gt;=Fluxo_de_Caixa_Janeiro31020[[#This Row],[% ACUMULADO  1º Trimes 2025]],"VERDADEIRO","FALSO")</f>
        <v>VERDADEIRO</v>
      </c>
      <c r="V250" s="525">
        <v>0</v>
      </c>
      <c r="W250" s="579" t="s">
        <v>240</v>
      </c>
    </row>
    <row r="251" spans="2:23" x14ac:dyDescent="0.25">
      <c r="B251" s="49" t="str">
        <f>Fluxo_de_Caixa_Janeiro[[#This Row],[Fluxo de Caixa 2026 CTR]]</f>
        <v xml:space="preserve">4.2.03 Resgate de Titulo de Capitalização </v>
      </c>
      <c r="C251" s="35">
        <f>Fluxo_de_Caixa_Janeiro[[#This Row],[Janeiro]]</f>
        <v>0</v>
      </c>
      <c r="D251" s="62">
        <f>Fluxo_de_Caixa_Janeiro3[[#This Row],[Fevereiro]]</f>
        <v>0</v>
      </c>
      <c r="E251" s="62">
        <f>Fluxo_de_Caixa_Janeiro34[[#This Row],[Março]]</f>
        <v>0</v>
      </c>
      <c r="F251" s="62"/>
      <c r="G251" s="62"/>
      <c r="H251" s="62"/>
      <c r="I251" s="35"/>
      <c r="J251" s="62"/>
      <c r="K251" s="62"/>
      <c r="L251" s="62"/>
      <c r="M251" s="62"/>
      <c r="N251" s="119"/>
      <c r="O251" s="231">
        <f>SUM(Fluxo_de_Caixa_Janeiro31020[[#This Row],[Janeiro]:[Dezembro]])</f>
        <v>0</v>
      </c>
      <c r="P251" s="140" t="str">
        <f t="shared" si="14"/>
        <v>0,00%</v>
      </c>
      <c r="Q251" s="140" t="s">
        <v>240</v>
      </c>
      <c r="R251" s="32" t="str">
        <f>IF(Fluxo_de_Caixa_Janeiro31020[[#This Row],[% ACUMULADO  1º Trimes 2026]]&gt;=Fluxo_de_Caixa_Janeiro31020[[#This Row],[% ACUMULADO  1º Trimes 2025]],"VERDADEIRO","FALSO")</f>
        <v>VERDADEIRO</v>
      </c>
      <c r="V251" s="525">
        <v>0</v>
      </c>
      <c r="W251" s="579" t="s">
        <v>240</v>
      </c>
    </row>
    <row r="252" spans="2:23" x14ac:dyDescent="0.25">
      <c r="B252" s="49" t="str">
        <f>Fluxo_de_Caixa_Janeiro[[#This Row],[Fluxo de Caixa 2026 CTR]]</f>
        <v xml:space="preserve">4.2.04 Resgate de Consórcio </v>
      </c>
      <c r="C252" s="35">
        <f>Fluxo_de_Caixa_Janeiro[[#This Row],[Janeiro]]</f>
        <v>0</v>
      </c>
      <c r="D252" s="62">
        <f>Fluxo_de_Caixa_Janeiro3[[#This Row],[Fevereiro]]</f>
        <v>0</v>
      </c>
      <c r="E252" s="62">
        <f>Fluxo_de_Caixa_Janeiro34[[#This Row],[Março]]</f>
        <v>0</v>
      </c>
      <c r="F252" s="62"/>
      <c r="G252" s="62"/>
      <c r="H252" s="62"/>
      <c r="I252" s="35"/>
      <c r="J252" s="62"/>
      <c r="K252" s="62"/>
      <c r="L252" s="62"/>
      <c r="M252" s="62"/>
      <c r="N252" s="119"/>
      <c r="O252" s="231">
        <f>SUM(Fluxo_de_Caixa_Janeiro31020[[#This Row],[Janeiro]:[Dezembro]])</f>
        <v>0</v>
      </c>
      <c r="P252" s="140" t="str">
        <f t="shared" si="14"/>
        <v>0,00%</v>
      </c>
      <c r="Q252" s="140" t="s">
        <v>240</v>
      </c>
      <c r="R252" s="32" t="str">
        <f>IF(Fluxo_de_Caixa_Janeiro31020[[#This Row],[% ACUMULADO  1º Trimes 2026]]&gt;=Fluxo_de_Caixa_Janeiro31020[[#This Row],[% ACUMULADO  1º Trimes 2025]],"VERDADEIRO","FALSO")</f>
        <v>VERDADEIRO</v>
      </c>
      <c r="V252" s="525">
        <v>0</v>
      </c>
      <c r="W252" s="579" t="s">
        <v>240</v>
      </c>
    </row>
    <row r="253" spans="2:23" x14ac:dyDescent="0.25">
      <c r="B253" s="49" t="str">
        <f>Fluxo_de_Caixa_Janeiro[[#This Row],[Fluxo de Caixa 2026 CTR]]</f>
        <v>4.2.05 Venda de Ativo Imobilizado</v>
      </c>
      <c r="C253" s="35">
        <f>Fluxo_de_Caixa_Janeiro[[#This Row],[Janeiro]]</f>
        <v>0</v>
      </c>
      <c r="D253" s="62">
        <f>Fluxo_de_Caixa_Janeiro3[[#This Row],[Fevereiro]]</f>
        <v>0</v>
      </c>
      <c r="E253" s="62">
        <f>Fluxo_de_Caixa_Janeiro34[[#This Row],[Março]]</f>
        <v>0</v>
      </c>
      <c r="F253" s="62"/>
      <c r="G253" s="62"/>
      <c r="H253" s="62"/>
      <c r="I253" s="35"/>
      <c r="J253" s="62"/>
      <c r="K253" s="62"/>
      <c r="L253" s="62"/>
      <c r="M253" s="62"/>
      <c r="N253" s="119"/>
      <c r="O253" s="231">
        <f>SUM(Fluxo_de_Caixa_Janeiro31020[[#This Row],[Janeiro]:[Dezembro]])</f>
        <v>0</v>
      </c>
      <c r="P253" s="140" t="str">
        <f t="shared" si="14"/>
        <v>0,00%</v>
      </c>
      <c r="Q253" s="140">
        <v>1.9277171305052292E-2</v>
      </c>
      <c r="R253" s="32" t="str">
        <f>IF(Fluxo_de_Caixa_Janeiro31020[[#This Row],[% ACUMULADO  1º Trimes 2026]]&gt;=Fluxo_de_Caixa_Janeiro31020[[#This Row],[% ACUMULADO  1º Trimes 2025]],"VERDADEIRO","FALSO")</f>
        <v>VERDADEIRO</v>
      </c>
      <c r="V253" s="525">
        <v>52900</v>
      </c>
      <c r="W253" s="579">
        <v>1.9277171305052292E-2</v>
      </c>
    </row>
    <row r="254" spans="2:23" x14ac:dyDescent="0.25">
      <c r="B254" s="49" t="str">
        <f>Fluxo_de_Caixa_Janeiro[[#This Row],[Fluxo de Caixa 2026 CTR]]</f>
        <v>4.2.06 Rendimentos CDB/Fundos/Alugueis</v>
      </c>
      <c r="C254" s="35">
        <f>Fluxo_de_Caixa_Janeiro[[#This Row],[Janeiro]]</f>
        <v>0.4</v>
      </c>
      <c r="D254" s="62">
        <f>Fluxo_de_Caixa_Janeiro3[[#This Row],[Fevereiro]]</f>
        <v>1.56</v>
      </c>
      <c r="E254" s="62">
        <f>Fluxo_de_Caixa_Janeiro34[[#This Row],[Março]]</f>
        <v>1.84</v>
      </c>
      <c r="F254" s="62"/>
      <c r="G254" s="62"/>
      <c r="H254" s="62"/>
      <c r="I254" s="35"/>
      <c r="J254" s="62"/>
      <c r="K254" s="62"/>
      <c r="L254" s="62"/>
      <c r="M254" s="62"/>
      <c r="N254" s="119"/>
      <c r="O254" s="231">
        <f>SUM(Fluxo_de_Caixa_Janeiro31020[[#This Row],[Janeiro]:[Dezembro]])</f>
        <v>3.8</v>
      </c>
      <c r="P254" s="140">
        <f t="shared" si="14"/>
        <v>1.0248720866588253E-6</v>
      </c>
      <c r="Q254" s="140">
        <v>1.6361909103910168E-6</v>
      </c>
      <c r="R254" s="32" t="str">
        <f>IF(Fluxo_de_Caixa_Janeiro31020[[#This Row],[% ACUMULADO  1º Trimes 2026]]&gt;=Fluxo_de_Caixa_Janeiro31020[[#This Row],[% ACUMULADO  1º Trimes 2025]],"VERDADEIRO","FALSO")</f>
        <v>FALSO</v>
      </c>
      <c r="V254" s="525">
        <v>4.49</v>
      </c>
      <c r="W254" s="579">
        <v>1.6361909103910168E-6</v>
      </c>
    </row>
    <row r="255" spans="2:23" x14ac:dyDescent="0.25">
      <c r="B255" s="49" t="str">
        <f>Fluxo_de_Caixa_Janeiro[[#This Row],[Fluxo de Caixa 2026 CTR]]</f>
        <v>4.2.07 Resgate de Capital Social</v>
      </c>
      <c r="C255" s="35">
        <f>Fluxo_de_Caixa_Janeiro[[#This Row],[Janeiro]]</f>
        <v>0</v>
      </c>
      <c r="D255" s="62">
        <f>Fluxo_de_Caixa_Janeiro3[[#This Row],[Fevereiro]]</f>
        <v>0</v>
      </c>
      <c r="E255" s="62">
        <f>Fluxo_de_Caixa_Janeiro34[[#This Row],[Março]]</f>
        <v>0</v>
      </c>
      <c r="F255" s="62"/>
      <c r="G255" s="62"/>
      <c r="H255" s="62"/>
      <c r="I255" s="35"/>
      <c r="J255" s="62"/>
      <c r="K255" s="62"/>
      <c r="L255" s="62"/>
      <c r="M255" s="62"/>
      <c r="N255" s="119"/>
      <c r="O255" s="231">
        <f>SUM(Fluxo_de_Caixa_Janeiro31020[[#This Row],[Janeiro]:[Dezembro]])</f>
        <v>0</v>
      </c>
      <c r="P255" s="140" t="str">
        <f t="shared" si="14"/>
        <v>0,00%</v>
      </c>
      <c r="Q255" s="140" t="s">
        <v>240</v>
      </c>
      <c r="R255" s="32" t="str">
        <f>IF(Fluxo_de_Caixa_Janeiro31020[[#This Row],[% ACUMULADO  1º Trimes 2026]]&gt;=Fluxo_de_Caixa_Janeiro31020[[#This Row],[% ACUMULADO  1º Trimes 2025]],"VERDADEIRO","FALSO")</f>
        <v>VERDADEIRO</v>
      </c>
      <c r="V255" s="525">
        <v>0</v>
      </c>
      <c r="W255" s="579" t="s">
        <v>240</v>
      </c>
    </row>
    <row r="256" spans="2:23" x14ac:dyDescent="0.25">
      <c r="B256" s="49" t="str">
        <f>Fluxo_de_Caixa_Janeiro[[#This Row],[Fluxo de Caixa 2026 CTR]]</f>
        <v xml:space="preserve">4.2.08.INVESTIMENTO EMPRESAS DO MESMO </v>
      </c>
      <c r="C256" s="35">
        <f>Fluxo_de_Caixa_Janeiro[[#This Row],[Janeiro]]</f>
        <v>0</v>
      </c>
      <c r="D256" s="62">
        <f>Fluxo_de_Caixa_Janeiro3[[#This Row],[Fevereiro]]</f>
        <v>0</v>
      </c>
      <c r="E256" s="62">
        <f>Fluxo_de_Caixa_Janeiro34[[#This Row],[Março]]</f>
        <v>0</v>
      </c>
      <c r="F256" s="62"/>
      <c r="G256" s="62"/>
      <c r="H256" s="62"/>
      <c r="I256" s="35"/>
      <c r="J256" s="62"/>
      <c r="K256" s="62"/>
      <c r="L256" s="62"/>
      <c r="M256" s="62"/>
      <c r="N256" s="119"/>
      <c r="O256" s="231">
        <f>SUM(Fluxo_de_Caixa_Janeiro31020[[#This Row],[Janeiro]:[Dezembro]])</f>
        <v>0</v>
      </c>
      <c r="P256" s="140" t="str">
        <f t="shared" si="14"/>
        <v>0,00%</v>
      </c>
      <c r="Q256" s="140" t="s">
        <v>240</v>
      </c>
      <c r="R256" s="32" t="str">
        <f>IF(Fluxo_de_Caixa_Janeiro31020[[#This Row],[% ACUMULADO  1º Trimes 2026]]&gt;=Fluxo_de_Caixa_Janeiro31020[[#This Row],[% ACUMULADO  1º Trimes 2025]],"VERDADEIRO","FALSO")</f>
        <v>VERDADEIRO</v>
      </c>
      <c r="V256" s="525">
        <v>0</v>
      </c>
      <c r="W256" s="579" t="s">
        <v>240</v>
      </c>
    </row>
    <row r="257" spans="2:23" ht="15.75" thickBot="1" x14ac:dyDescent="0.3">
      <c r="B257" s="49" t="str">
        <f>Fluxo_de_Caixa_Janeiro[[#This Row],[Fluxo de Caixa 2026 CTR]]</f>
        <v>4.2.09.APORTE DE CAPITAL SOCIAL</v>
      </c>
      <c r="C257" s="35">
        <f>Fluxo_de_Caixa_Janeiro[[#This Row],[Janeiro]]</f>
        <v>0</v>
      </c>
      <c r="D257" s="62">
        <f>Fluxo_de_Caixa_Janeiro3[[#This Row],[Fevereiro]]</f>
        <v>0</v>
      </c>
      <c r="E257" s="62">
        <f>Fluxo_de_Caixa_Janeiro34[[#This Row],[Março]]</f>
        <v>0</v>
      </c>
      <c r="F257" s="62"/>
      <c r="G257" s="62"/>
      <c r="H257" s="62"/>
      <c r="I257" s="35"/>
      <c r="J257" s="62"/>
      <c r="K257" s="62"/>
      <c r="L257" s="62"/>
      <c r="M257" s="62"/>
      <c r="N257" s="119"/>
      <c r="O257" s="231">
        <f>SUM(Fluxo_de_Caixa_Janeiro31020[[#This Row],[Janeiro]:[Dezembro]])</f>
        <v>0</v>
      </c>
      <c r="P257" s="140" t="str">
        <f t="shared" si="14"/>
        <v>0,00%</v>
      </c>
      <c r="Q257" s="140" t="s">
        <v>240</v>
      </c>
      <c r="R257" s="32" t="str">
        <f>IF(Fluxo_de_Caixa_Janeiro31020[[#This Row],[% ACUMULADO  1º Trimes 2026]]&gt;=Fluxo_de_Caixa_Janeiro31020[[#This Row],[% ACUMULADO  1º Trimes 2025]],"VERDADEIRO","FALSO")</f>
        <v>VERDADEIRO</v>
      </c>
      <c r="V257" s="525">
        <v>0</v>
      </c>
      <c r="W257" s="579" t="s">
        <v>240</v>
      </c>
    </row>
    <row r="258" spans="2:23" hidden="1" x14ac:dyDescent="0.25">
      <c r="B258" s="49">
        <f>Fluxo_de_Caixa_Janeiro[[#This Row],[Fluxo de Caixa 2026 CTR]]</f>
        <v>0</v>
      </c>
      <c r="C258" s="35">
        <f>Fluxo_de_Caixa_Janeiro[[#This Row],[Janeiro]]</f>
        <v>0</v>
      </c>
      <c r="D258" s="62">
        <f>Fluxo_de_Caixa_Janeiro3[[#This Row],[Fevereiro]]</f>
        <v>0</v>
      </c>
      <c r="E258" s="62">
        <f>Fluxo_de_Caixa_Janeiro34[[#This Row],[Março]]</f>
        <v>0</v>
      </c>
      <c r="F258" s="62"/>
      <c r="G258" s="62"/>
      <c r="H258" s="62"/>
      <c r="I258" s="35"/>
      <c r="J258" s="62"/>
      <c r="K258" s="62"/>
      <c r="L258" s="62"/>
      <c r="M258" s="62"/>
      <c r="N258" s="119"/>
      <c r="O258" s="231">
        <f>SUM(Fluxo_de_Caixa_Janeiro31020[[#This Row],[Janeiro]:[Dezembro]])</f>
        <v>0</v>
      </c>
      <c r="P258" s="140" t="str">
        <f t="shared" si="14"/>
        <v>0,00%</v>
      </c>
      <c r="Q258" s="140" t="s">
        <v>240</v>
      </c>
      <c r="R258" s="32" t="str">
        <f>IF(Fluxo_de_Caixa_Janeiro31020[[#This Row],[% ACUMULADO  1º Trimes 2026]]&gt;=Fluxo_de_Caixa_Janeiro31020[[#This Row],[% ACUMULADO  1º Trimes 2025]],"VERDADEIRO","FALSO")</f>
        <v>VERDADEIRO</v>
      </c>
      <c r="V258" s="525">
        <v>0</v>
      </c>
      <c r="W258" s="579" t="s">
        <v>240</v>
      </c>
    </row>
    <row r="259" spans="2:23" hidden="1" x14ac:dyDescent="0.25">
      <c r="B259" s="49">
        <f>Fluxo_de_Caixa_Janeiro[[#This Row],[Fluxo de Caixa 2026 CTR]]</f>
        <v>0</v>
      </c>
      <c r="C259" s="35">
        <f>Fluxo_de_Caixa_Janeiro[[#This Row],[Janeiro]]</f>
        <v>0</v>
      </c>
      <c r="D259" s="62">
        <f>Fluxo_de_Caixa_Janeiro3[[#This Row],[Fevereiro]]</f>
        <v>0</v>
      </c>
      <c r="E259" s="62">
        <f>Fluxo_de_Caixa_Janeiro34[[#This Row],[Março]]</f>
        <v>0</v>
      </c>
      <c r="F259" s="62"/>
      <c r="G259" s="62"/>
      <c r="H259" s="62"/>
      <c r="I259" s="35"/>
      <c r="J259" s="62"/>
      <c r="K259" s="62"/>
      <c r="L259" s="62"/>
      <c r="M259" s="62"/>
      <c r="N259" s="119"/>
      <c r="O259" s="231">
        <f>SUM(Fluxo_de_Caixa_Janeiro31020[[#This Row],[Janeiro]:[Dezembro]])</f>
        <v>0</v>
      </c>
      <c r="P259" s="140" t="str">
        <f t="shared" si="14"/>
        <v>0,00%</v>
      </c>
      <c r="Q259" s="140" t="s">
        <v>240</v>
      </c>
      <c r="R259" s="32" t="str">
        <f>IF(Fluxo_de_Caixa_Janeiro31020[[#This Row],[% ACUMULADO  1º Trimes 2026]]&gt;=Fluxo_de_Caixa_Janeiro31020[[#This Row],[% ACUMULADO  1º Trimes 2025]],"VERDADEIRO","FALSO")</f>
        <v>VERDADEIRO</v>
      </c>
      <c r="V259" s="525">
        <v>0</v>
      </c>
      <c r="W259" s="579" t="s">
        <v>240</v>
      </c>
    </row>
    <row r="260" spans="2:23" ht="15.75" hidden="1" thickBot="1" x14ac:dyDescent="0.3">
      <c r="B260" s="56">
        <f>Fluxo_de_Caixa_Janeiro[[#This Row],[Fluxo de Caixa 2026 CTR]]</f>
        <v>0</v>
      </c>
      <c r="C260" s="36">
        <f>Fluxo_de_Caixa_Janeiro[[#This Row],[Janeiro]]</f>
        <v>0</v>
      </c>
      <c r="D260" s="82">
        <f>Fluxo_de_Caixa_Janeiro3[[#This Row],[Fevereiro]]</f>
        <v>0</v>
      </c>
      <c r="E260" s="82">
        <f>Fluxo_de_Caixa_Janeiro34[[#This Row],[Março]]</f>
        <v>0</v>
      </c>
      <c r="F260" s="82"/>
      <c r="G260" s="82"/>
      <c r="H260" s="82"/>
      <c r="I260" s="36"/>
      <c r="J260" s="82"/>
      <c r="K260" s="82"/>
      <c r="L260" s="82"/>
      <c r="M260" s="82"/>
      <c r="N260" s="120"/>
      <c r="O260" s="232">
        <f>SUM(Fluxo_de_Caixa_Janeiro31020[[#This Row],[Janeiro]:[Dezembro]])</f>
        <v>0</v>
      </c>
      <c r="P260" s="141" t="str">
        <f t="shared" si="14"/>
        <v>0,00%</v>
      </c>
      <c r="Q260" s="141" t="s">
        <v>240</v>
      </c>
      <c r="R260" s="32" t="str">
        <f>IF(Fluxo_de_Caixa_Janeiro31020[[#This Row],[% ACUMULADO  1º Trimes 2026]]&gt;=Fluxo_de_Caixa_Janeiro31020[[#This Row],[% ACUMULADO  1º Trimes 2025]],"VERDADEIRO","FALSO")</f>
        <v>VERDADEIRO</v>
      </c>
      <c r="V260" s="526">
        <v>0</v>
      </c>
      <c r="W260" s="580" t="s">
        <v>240</v>
      </c>
    </row>
    <row r="261" spans="2:23" s="1" customFormat="1" ht="24" thickBot="1" x14ac:dyDescent="0.4">
      <c r="B261" s="48" t="str">
        <f>Fluxo_de_Caixa_Janeiro[[#This Row],[Fluxo de Caixa 2026 CTR]]</f>
        <v>4.3. Receitas Financeiras</v>
      </c>
      <c r="C261" s="38">
        <f>Fluxo_de_Caixa_Janeiro[[#This Row],[Janeiro]]</f>
        <v>1301.58</v>
      </c>
      <c r="D261" s="87">
        <f>Fluxo_de_Caixa_Janeiro3[[#This Row],[Fevereiro]]</f>
        <v>72.010000000000005</v>
      </c>
      <c r="E261" s="87">
        <f>Fluxo_de_Caixa_Janeiro34[[#This Row],[Março]]</f>
        <v>430.38</v>
      </c>
      <c r="F261" s="87"/>
      <c r="G261" s="87"/>
      <c r="H261" s="87"/>
      <c r="I261" s="38"/>
      <c r="J261" s="87"/>
      <c r="K261" s="87"/>
      <c r="L261" s="87"/>
      <c r="M261" s="87"/>
      <c r="N261" s="125"/>
      <c r="O261" s="216">
        <f>SUM(Fluxo_de_Caixa_Janeiro31020[[#This Row],[Janeiro]:[Dezembro]])</f>
        <v>1803.9699999999998</v>
      </c>
      <c r="P261" s="247">
        <f t="shared" si="14"/>
        <v>4.8653644688682131E-4</v>
      </c>
      <c r="Q261" s="247">
        <v>2.9958692010037031E-4</v>
      </c>
      <c r="R261" s="32" t="str">
        <f>IF(Fluxo_de_Caixa_Janeiro31020[[#This Row],[% ACUMULADO  1º Trimes 2026]]&gt;=Fluxo_de_Caixa_Janeiro31020[[#This Row],[% ACUMULADO  1º Trimes 2025]],"VERDADEIRO","FALSO")</f>
        <v>VERDADEIRO</v>
      </c>
      <c r="V261" s="507">
        <v>822.12</v>
      </c>
      <c r="W261" s="598">
        <v>2.9958692010037031E-4</v>
      </c>
    </row>
    <row r="262" spans="2:23" x14ac:dyDescent="0.25">
      <c r="B262" s="49" t="str">
        <f>Fluxo_de_Caixa_Janeiro[[#This Row],[Fluxo de Caixa 2026 CTR]]</f>
        <v>4.3.01. JUROS E MULTAS RECEBIDOS</v>
      </c>
      <c r="C262" s="41">
        <f>Fluxo_de_Caixa_Janeiro[[#This Row],[Janeiro]]</f>
        <v>0</v>
      </c>
      <c r="D262" s="81">
        <f>Fluxo_de_Caixa_Janeiro3[[#This Row],[Fevereiro]]</f>
        <v>0</v>
      </c>
      <c r="E262" s="81">
        <f>Fluxo_de_Caixa_Janeiro34[[#This Row],[Março]]</f>
        <v>0</v>
      </c>
      <c r="F262" s="81"/>
      <c r="G262" s="81"/>
      <c r="H262" s="81"/>
      <c r="I262" s="41"/>
      <c r="J262" s="81"/>
      <c r="K262" s="81"/>
      <c r="L262" s="81"/>
      <c r="M262" s="81"/>
      <c r="N262" s="118"/>
      <c r="O262" s="230">
        <f>SUM(Fluxo_de_Caixa_Janeiro31020[[#This Row],[Janeiro]:[Dezembro]])</f>
        <v>0</v>
      </c>
      <c r="P262" s="29" t="str">
        <f t="shared" si="14"/>
        <v>0,00%</v>
      </c>
      <c r="Q262" s="29" t="s">
        <v>240</v>
      </c>
      <c r="R262" s="32" t="str">
        <f>IF(Fluxo_de_Caixa_Janeiro31020[[#This Row],[% ACUMULADO  1º Trimes 2026]]&gt;=Fluxo_de_Caixa_Janeiro31020[[#This Row],[% ACUMULADO  1º Trimes 2025]],"VERDADEIRO","FALSO")</f>
        <v>VERDADEIRO</v>
      </c>
      <c r="V262" s="524">
        <v>0</v>
      </c>
      <c r="W262" s="578" t="s">
        <v>240</v>
      </c>
    </row>
    <row r="263" spans="2:23" x14ac:dyDescent="0.25">
      <c r="B263" s="50" t="str">
        <f>Fluxo_de_Caixa_Janeiro[[#This Row],[Fluxo de Caixa 2026 CTR]]</f>
        <v>4.3.02. SOBRA ACERTO CAIXA</v>
      </c>
      <c r="C263" s="35">
        <f>Fluxo_de_Caixa_Janeiro[[#This Row],[Janeiro]]</f>
        <v>0</v>
      </c>
      <c r="D263" s="62">
        <f>Fluxo_de_Caixa_Janeiro3[[#This Row],[Fevereiro]]</f>
        <v>0</v>
      </c>
      <c r="E263" s="62">
        <f>Fluxo_de_Caixa_Janeiro34[[#This Row],[Março]]</f>
        <v>0</v>
      </c>
      <c r="F263" s="62"/>
      <c r="G263" s="62"/>
      <c r="H263" s="62"/>
      <c r="I263" s="35"/>
      <c r="J263" s="62"/>
      <c r="K263" s="62"/>
      <c r="L263" s="62"/>
      <c r="M263" s="62"/>
      <c r="N263" s="119"/>
      <c r="O263" s="231">
        <f>SUM(Fluxo_de_Caixa_Janeiro31020[[#This Row],[Janeiro]:[Dezembro]])</f>
        <v>0</v>
      </c>
      <c r="P263" s="140" t="str">
        <f t="shared" si="14"/>
        <v>0,00%</v>
      </c>
      <c r="Q263" s="140" t="s">
        <v>240</v>
      </c>
      <c r="R263" s="32" t="str">
        <f>IF(Fluxo_de_Caixa_Janeiro31020[[#This Row],[% ACUMULADO  1º Trimes 2026]]&gt;=Fluxo_de_Caixa_Janeiro31020[[#This Row],[% ACUMULADO  1º Trimes 2025]],"VERDADEIRO","FALSO")</f>
        <v>VERDADEIRO</v>
      </c>
      <c r="V263" s="525">
        <v>0</v>
      </c>
      <c r="W263" s="579" t="s">
        <v>240</v>
      </c>
    </row>
    <row r="264" spans="2:23" x14ac:dyDescent="0.25">
      <c r="B264" s="50" t="str">
        <f>Fluxo_de_Caixa_Janeiro[[#This Row],[Fluxo de Caixa 2026 CTR]]</f>
        <v>4.3.03. DESCONTOS OBTIDOS</v>
      </c>
      <c r="C264" s="35">
        <f>Fluxo_de_Caixa_Janeiro[[#This Row],[Janeiro]]</f>
        <v>0</v>
      </c>
      <c r="D264" s="62">
        <f>Fluxo_de_Caixa_Janeiro3[[#This Row],[Fevereiro]]</f>
        <v>0</v>
      </c>
      <c r="E264" s="62">
        <f>Fluxo_de_Caixa_Janeiro34[[#This Row],[Março]]</f>
        <v>0</v>
      </c>
      <c r="F264" s="62"/>
      <c r="G264" s="62"/>
      <c r="H264" s="62"/>
      <c r="I264" s="35"/>
      <c r="J264" s="62"/>
      <c r="K264" s="62"/>
      <c r="L264" s="62"/>
      <c r="M264" s="62"/>
      <c r="N264" s="119"/>
      <c r="O264" s="231">
        <f>SUM(Fluxo_de_Caixa_Janeiro31020[[#This Row],[Janeiro]:[Dezembro]])</f>
        <v>0</v>
      </c>
      <c r="P264" s="140" t="str">
        <f t="shared" si="14"/>
        <v>0,00%</v>
      </c>
      <c r="Q264" s="140" t="s">
        <v>240</v>
      </c>
      <c r="R264" s="32" t="str">
        <f>IF(Fluxo_de_Caixa_Janeiro31020[[#This Row],[% ACUMULADO  1º Trimes 2026]]&gt;=Fluxo_de_Caixa_Janeiro31020[[#This Row],[% ACUMULADO  1º Trimes 2025]],"VERDADEIRO","FALSO")</f>
        <v>VERDADEIRO</v>
      </c>
      <c r="V264" s="525">
        <v>0</v>
      </c>
      <c r="W264" s="579" t="s">
        <v>240</v>
      </c>
    </row>
    <row r="265" spans="2:23" x14ac:dyDescent="0.25">
      <c r="B265" s="50" t="str">
        <f>Fluxo_de_Caixa_Janeiro[[#This Row],[Fluxo de Caixa 2026 CTR]]</f>
        <v>4.3.04. OUTRAS RECEITAS FINANCEIRAS</v>
      </c>
      <c r="C265" s="35">
        <f>Fluxo_de_Caixa_Janeiro[[#This Row],[Janeiro]]</f>
        <v>0</v>
      </c>
      <c r="D265" s="62">
        <f>Fluxo_de_Caixa_Janeiro3[[#This Row],[Fevereiro]]</f>
        <v>0</v>
      </c>
      <c r="E265" s="62">
        <f>Fluxo_de_Caixa_Janeiro34[[#This Row],[Março]]</f>
        <v>0</v>
      </c>
      <c r="F265" s="62"/>
      <c r="G265" s="62"/>
      <c r="H265" s="62"/>
      <c r="I265" s="35"/>
      <c r="J265" s="62"/>
      <c r="K265" s="62"/>
      <c r="L265" s="62"/>
      <c r="M265" s="62"/>
      <c r="N265" s="119"/>
      <c r="O265" s="231">
        <f>SUM(Fluxo_de_Caixa_Janeiro31020[[#This Row],[Janeiro]:[Dezembro]])</f>
        <v>0</v>
      </c>
      <c r="P265" s="140" t="str">
        <f t="shared" si="14"/>
        <v>0,00%</v>
      </c>
      <c r="Q265" s="140" t="s">
        <v>240</v>
      </c>
      <c r="R265" s="32" t="str">
        <f>IF(Fluxo_de_Caixa_Janeiro31020[[#This Row],[% ACUMULADO  1º Trimes 2026]]&gt;=Fluxo_de_Caixa_Janeiro31020[[#This Row],[% ACUMULADO  1º Trimes 2025]],"VERDADEIRO","FALSO")</f>
        <v>VERDADEIRO</v>
      </c>
      <c r="V265" s="525">
        <v>0</v>
      </c>
      <c r="W265" s="579" t="s">
        <v>240</v>
      </c>
    </row>
    <row r="266" spans="2:23" x14ac:dyDescent="0.25">
      <c r="B266" s="393" t="str">
        <f>Fluxo_de_Caixa_Janeiro[[#This Row],[Fluxo de Caixa 2026 CTR]]</f>
        <v>4.3.05. RECEITA DE BRINDE E EXPOSITORES</v>
      </c>
      <c r="C266" s="357">
        <f>Fluxo_de_Caixa_Janeiro[[#This Row],[Janeiro]]</f>
        <v>0</v>
      </c>
      <c r="D266" s="306">
        <f>Fluxo_de_Caixa_Janeiro3[[#This Row],[Fevereiro]]</f>
        <v>0</v>
      </c>
      <c r="E266" s="306">
        <f>Fluxo_de_Caixa_Janeiro34[[#This Row],[Março]]</f>
        <v>0</v>
      </c>
      <c r="F266" s="306"/>
      <c r="G266" s="306"/>
      <c r="H266" s="306"/>
      <c r="I266" s="357"/>
      <c r="J266" s="306"/>
      <c r="K266" s="306"/>
      <c r="L266" s="306"/>
      <c r="M266" s="306"/>
      <c r="N266" s="360"/>
      <c r="O266" s="231">
        <f>SUM(Fluxo_de_Caixa_Janeiro31020[[#This Row],[Janeiro]:[Dezembro]])</f>
        <v>0</v>
      </c>
      <c r="P266" s="140" t="str">
        <f t="shared" si="14"/>
        <v>0,00%</v>
      </c>
      <c r="Q266" s="140" t="s">
        <v>240</v>
      </c>
      <c r="R266" s="32" t="str">
        <f>IF(Fluxo_de_Caixa_Janeiro31020[[#This Row],[% ACUMULADO  1º Trimes 2026]]&gt;=Fluxo_de_Caixa_Janeiro31020[[#This Row],[% ACUMULADO  1º Trimes 2025]],"VERDADEIRO","FALSO")</f>
        <v>VERDADEIRO</v>
      </c>
      <c r="V266" s="525">
        <v>0</v>
      </c>
      <c r="W266" s="579" t="s">
        <v>240</v>
      </c>
    </row>
    <row r="267" spans="2:23" hidden="1" x14ac:dyDescent="0.25">
      <c r="B267" s="364">
        <f>Fluxo_de_Caixa_Janeiro[[#This Row],[Fluxo de Caixa 2026 CTR]]</f>
        <v>0</v>
      </c>
      <c r="C267" s="357">
        <f>Fluxo_de_Caixa_Janeiro[[#This Row],[Janeiro]]</f>
        <v>0</v>
      </c>
      <c r="D267" s="306">
        <f>Fluxo_de_Caixa_Janeiro3[[#This Row],[Fevereiro]]</f>
        <v>0</v>
      </c>
      <c r="E267" s="306">
        <f>Fluxo_de_Caixa_Janeiro34[[#This Row],[Março]]</f>
        <v>0</v>
      </c>
      <c r="F267" s="306"/>
      <c r="G267" s="306"/>
      <c r="H267" s="306"/>
      <c r="I267" s="357"/>
      <c r="J267" s="306"/>
      <c r="K267" s="306"/>
      <c r="L267" s="306"/>
      <c r="M267" s="306"/>
      <c r="N267" s="360"/>
      <c r="O267" s="231">
        <f>SUM(Fluxo_de_Caixa_Janeiro31020[[#This Row],[Janeiro]:[Dezembro]])</f>
        <v>0</v>
      </c>
      <c r="P267" s="140" t="str">
        <f t="shared" si="14"/>
        <v>0,00%</v>
      </c>
      <c r="Q267" s="140" t="s">
        <v>240</v>
      </c>
      <c r="R267" s="32" t="str">
        <f>IF(Fluxo_de_Caixa_Janeiro31020[[#This Row],[% ACUMULADO  1º Trimes 2026]]&gt;=Fluxo_de_Caixa_Janeiro31020[[#This Row],[% ACUMULADO  1º Trimes 2025]],"VERDADEIRO","FALSO")</f>
        <v>VERDADEIRO</v>
      </c>
      <c r="V267" s="525">
        <v>0</v>
      </c>
      <c r="W267" s="579" t="s">
        <v>240</v>
      </c>
    </row>
    <row r="268" spans="2:23" x14ac:dyDescent="0.25">
      <c r="B268" s="364" t="str">
        <f>Fluxo_de_Caixa_Janeiro[[#This Row],[Fluxo de Caixa 2026 CTR]]</f>
        <v>4.3.07. RECEITA NÃO IDENTIFICADA</v>
      </c>
      <c r="C268" s="357">
        <f>Fluxo_de_Caixa_Janeiro[[#This Row],[Janeiro]]</f>
        <v>1301.58</v>
      </c>
      <c r="D268" s="306">
        <f>Fluxo_de_Caixa_Janeiro3[[#This Row],[Fevereiro]]</f>
        <v>72.010000000000005</v>
      </c>
      <c r="E268" s="306">
        <f>Fluxo_de_Caixa_Janeiro34[[#This Row],[Março]]</f>
        <v>580.38</v>
      </c>
      <c r="F268" s="306"/>
      <c r="G268" s="306"/>
      <c r="H268" s="306"/>
      <c r="I268" s="357"/>
      <c r="J268" s="306"/>
      <c r="K268" s="306"/>
      <c r="L268" s="306"/>
      <c r="M268" s="306"/>
      <c r="N268" s="360"/>
      <c r="O268" s="231">
        <f>SUM(Fluxo_de_Caixa_Janeiro31020[[#This Row],[Janeiro]:[Dezembro]])</f>
        <v>1953.9699999999998</v>
      </c>
      <c r="P268" s="140">
        <f t="shared" si="14"/>
        <v>5.2699192399177489E-4</v>
      </c>
      <c r="Q268" s="140">
        <v>2.8683264797037353E-4</v>
      </c>
      <c r="R268" s="32" t="str">
        <f>IF(Fluxo_de_Caixa_Janeiro31020[[#This Row],[% ACUMULADO  1º Trimes 2026]]&gt;=Fluxo_de_Caixa_Janeiro31020[[#This Row],[% ACUMULADO  1º Trimes 2025]],"VERDADEIRO","FALSO")</f>
        <v>VERDADEIRO</v>
      </c>
      <c r="V268" s="525">
        <v>787.12</v>
      </c>
      <c r="W268" s="579">
        <v>2.8683264797037353E-4</v>
      </c>
    </row>
    <row r="269" spans="2:23" x14ac:dyDescent="0.25">
      <c r="B269" s="364" t="str">
        <f>Fluxo_de_Caixa_Janeiro[[#This Row],[Fluxo de Caixa 2026 CTR]]</f>
        <v>4.3.08. DESPESAS NÃO IDENTIFICADAS ( - )</v>
      </c>
      <c r="C269" s="357">
        <f>Fluxo_de_Caixa_Janeiro[[#This Row],[Janeiro]]</f>
        <v>0</v>
      </c>
      <c r="D269" s="306">
        <f>Fluxo_de_Caixa_Janeiro3[[#This Row],[Fevereiro]]</f>
        <v>0</v>
      </c>
      <c r="E269" s="306">
        <f>Fluxo_de_Caixa_Janeiro34[[#This Row],[Março]]</f>
        <v>-150</v>
      </c>
      <c r="F269" s="306"/>
      <c r="G269" s="306"/>
      <c r="H269" s="306"/>
      <c r="I269" s="357"/>
      <c r="J269" s="306"/>
      <c r="K269" s="306"/>
      <c r="L269" s="306"/>
      <c r="M269" s="306"/>
      <c r="N269" s="360"/>
      <c r="O269" s="231">
        <f>SUM(Fluxo_de_Caixa_Janeiro31020[[#This Row],[Janeiro]:[Dezembro]])</f>
        <v>-150</v>
      </c>
      <c r="P269" s="140">
        <f t="shared" si="14"/>
        <v>-4.0455477104953633E-5</v>
      </c>
      <c r="Q269" s="140">
        <v>1.275427212999679E-5</v>
      </c>
      <c r="R269" s="32" t="str">
        <f>IF(Fluxo_de_Caixa_Janeiro31020[[#This Row],[% ACUMULADO  1º Trimes 2026]]&gt;=Fluxo_de_Caixa_Janeiro31020[[#This Row],[% ACUMULADO  1º Trimes 2025]],"VERDADEIRO","FALSO")</f>
        <v>FALSO</v>
      </c>
      <c r="V269" s="525">
        <v>35</v>
      </c>
      <c r="W269" s="579">
        <v>1.275427212999679E-5</v>
      </c>
    </row>
    <row r="270" spans="2:23" x14ac:dyDescent="0.25">
      <c r="B270" s="393" t="str">
        <f>Fluxo_de_Caixa_Janeiro[[#This Row],[Fluxo de Caixa 2026 CTR]]</f>
        <v>4.3.09. PATROCÍNIO  EM DINHEIRO</v>
      </c>
      <c r="C270" s="358">
        <f>Fluxo_de_Caixa_Janeiro[[#This Row],[Janeiro]]</f>
        <v>0</v>
      </c>
      <c r="D270" s="359">
        <f>Fluxo_de_Caixa_Janeiro3[[#This Row],[Fevereiro]]</f>
        <v>0</v>
      </c>
      <c r="E270" s="359">
        <f>Fluxo_de_Caixa_Janeiro34[[#This Row],[Março]]</f>
        <v>0</v>
      </c>
      <c r="F270" s="359"/>
      <c r="G270" s="359"/>
      <c r="H270" s="359"/>
      <c r="I270" s="358"/>
      <c r="J270" s="359"/>
      <c r="K270" s="359"/>
      <c r="L270" s="359"/>
      <c r="M270" s="359"/>
      <c r="N270" s="361"/>
      <c r="O270" s="231">
        <f>SUM(Fluxo_de_Caixa_Janeiro31020[[#This Row],[Janeiro]:[Dezembro]])</f>
        <v>0</v>
      </c>
      <c r="P270" s="140" t="str">
        <f t="shared" si="14"/>
        <v>0,00%</v>
      </c>
      <c r="Q270" s="140" t="s">
        <v>240</v>
      </c>
      <c r="R270" s="32" t="str">
        <f>IF(Fluxo_de_Caixa_Janeiro31020[[#This Row],[% ACUMULADO  1º Trimes 2026]]&gt;=Fluxo_de_Caixa_Janeiro31020[[#This Row],[% ACUMULADO  1º Trimes 2025]],"VERDADEIRO","FALSO")</f>
        <v>VERDADEIRO</v>
      </c>
      <c r="V270" s="525">
        <v>0</v>
      </c>
      <c r="W270" s="579" t="s">
        <v>240</v>
      </c>
    </row>
    <row r="271" spans="2:23" ht="15.75" thickBot="1" x14ac:dyDescent="0.3">
      <c r="B271" s="393" t="str">
        <f>Fluxo_de_Caixa_Janeiro[[#This Row],[Fluxo de Caixa 2026 CTR]]</f>
        <v>4.3.10. BONIFICAÇÃO EM PRODUTOS</v>
      </c>
      <c r="C271" s="358">
        <f>Fluxo_de_Caixa_Janeiro[[#This Row],[Janeiro]]</f>
        <v>0</v>
      </c>
      <c r="D271" s="359">
        <f>Fluxo_de_Caixa_Janeiro3[[#This Row],[Fevereiro]]</f>
        <v>0</v>
      </c>
      <c r="E271" s="359">
        <f>Fluxo_de_Caixa_Janeiro34[[#This Row],[Março]]</f>
        <v>0</v>
      </c>
      <c r="F271" s="359"/>
      <c r="G271" s="359"/>
      <c r="H271" s="359"/>
      <c r="I271" s="358"/>
      <c r="J271" s="359"/>
      <c r="K271" s="359"/>
      <c r="L271" s="359"/>
      <c r="M271" s="359"/>
      <c r="N271" s="361"/>
      <c r="O271" s="231">
        <f>SUM(Fluxo_de_Caixa_Janeiro31020[[#This Row],[Janeiro]:[Dezembro]])</f>
        <v>0</v>
      </c>
      <c r="P271" s="140" t="str">
        <f t="shared" si="14"/>
        <v>0,00%</v>
      </c>
      <c r="Q271" s="140" t="s">
        <v>240</v>
      </c>
      <c r="R271" s="32" t="str">
        <f>IF(Fluxo_de_Caixa_Janeiro31020[[#This Row],[% ACUMULADO  1º Trimes 2026]]&gt;=Fluxo_de_Caixa_Janeiro31020[[#This Row],[% ACUMULADO  1º Trimes 2025]],"VERDADEIRO","FALSO")</f>
        <v>VERDADEIRO</v>
      </c>
      <c r="V271" s="525">
        <v>0</v>
      </c>
      <c r="W271" s="579" t="s">
        <v>240</v>
      </c>
    </row>
    <row r="272" spans="2:23" ht="25.15" customHeight="1" thickBot="1" x14ac:dyDescent="0.45">
      <c r="B272" s="269" t="str">
        <f>Fluxo_de_Caixa_Janeiro[[#This Row],[Fluxo de Caixa 2026 CTR]]</f>
        <v>Despesas Não Operacional</v>
      </c>
      <c r="C272" s="191"/>
      <c r="D272" s="250"/>
      <c r="E272" s="250">
        <f>Fluxo_de_Caixa_Janeiro34[[#This Row],[Março]]</f>
        <v>0</v>
      </c>
      <c r="F272" s="250"/>
      <c r="G272" s="250"/>
      <c r="H272" s="250"/>
      <c r="I272" s="191"/>
      <c r="J272" s="250"/>
      <c r="K272" s="250"/>
      <c r="L272" s="250"/>
      <c r="M272" s="250"/>
      <c r="N272" s="288"/>
      <c r="O272" s="233"/>
      <c r="P272" s="146"/>
      <c r="Q272" s="556"/>
      <c r="R272" s="32" t="str">
        <f>IF(Fluxo_de_Caixa_Janeiro31020[[#This Row],[% ACUMULADO  1º Trimes 2026]]&gt;=Fluxo_de_Caixa_Janeiro31020[[#This Row],[% ACUMULADO  1º Trimes 2025]],"VERDADEIRO","FALSO")</f>
        <v>VERDADEIRO</v>
      </c>
      <c r="V272" s="527"/>
      <c r="W272" s="599"/>
    </row>
    <row r="273" spans="2:23" ht="24" customHeight="1" thickBot="1" x14ac:dyDescent="0.4">
      <c r="B273" s="278" t="str">
        <f>Fluxo_de_Caixa_Janeiro[[#This Row],[Fluxo de Caixa 2026 CTR]]</f>
        <v>5.1. EMPRESTIMO / FINANCIAMENTO</v>
      </c>
      <c r="C273" s="157">
        <f>Fluxo_de_Caixa_Janeiro[[#This Row],[Janeiro]]</f>
        <v>-18250.93</v>
      </c>
      <c r="D273" s="94">
        <f>Fluxo_de_Caixa_Janeiro3[[#This Row],[Fevereiro]]</f>
        <v>-18250.93</v>
      </c>
      <c r="E273" s="94">
        <f>Fluxo_de_Caixa_Janeiro34[[#This Row],[Março]]</f>
        <v>-230402.77</v>
      </c>
      <c r="F273" s="94"/>
      <c r="G273" s="94"/>
      <c r="H273" s="94"/>
      <c r="I273" s="157"/>
      <c r="J273" s="94"/>
      <c r="K273" s="94"/>
      <c r="L273" s="94"/>
      <c r="M273" s="94"/>
      <c r="N273" s="128"/>
      <c r="O273" s="222">
        <f>SUM(Fluxo_de_Caixa_Janeiro31020[[#This Row],[Janeiro]:[Dezembro]])</f>
        <v>-266904.63</v>
      </c>
      <c r="P273" s="143">
        <f t="shared" ref="P273:P314" si="15">-IFERROR(O273/$O$332,"0,00")</f>
        <v>7.1985027654474135E-2</v>
      </c>
      <c r="Q273" s="546">
        <v>2.8469175229140979E-3</v>
      </c>
      <c r="R273" s="32" t="str">
        <f>IF(Fluxo_de_Caixa_Janeiro31020[[#This Row],[% ACUMULADO  1º Trimes 2026]]&lt;=Fluxo_de_Caixa_Janeiro31020[[#This Row],[% ACUMULADO  1º Trimes 2025]],"VERDADEIRO","FALSO")</f>
        <v>FALSO</v>
      </c>
      <c r="V273" s="514">
        <v>-7812.4500000000007</v>
      </c>
      <c r="W273" s="588">
        <v>2.8469175229140979E-3</v>
      </c>
    </row>
    <row r="274" spans="2:23" x14ac:dyDescent="0.25">
      <c r="B274" s="279" t="str">
        <f>Fluxo_de_Caixa_Janeiro[[#This Row],[Fluxo de Caixa 2026 CTR]]</f>
        <v>5.1.01. BANCARIOS</v>
      </c>
      <c r="C274" s="369">
        <f>Fluxo_de_Caixa_Janeiro[[#This Row],[Janeiro]]</f>
        <v>18250.93</v>
      </c>
      <c r="D274" s="370">
        <f>Fluxo_de_Caixa_Janeiro3[[#This Row],[Fevereiro]]</f>
        <v>18250.93</v>
      </c>
      <c r="E274" s="370">
        <f>Fluxo_de_Caixa_Janeiro34[[#This Row],[Março]]</f>
        <v>230402.77</v>
      </c>
      <c r="F274" s="104"/>
      <c r="G274" s="104"/>
      <c r="H274" s="104"/>
      <c r="I274" s="162"/>
      <c r="J274" s="104"/>
      <c r="K274" s="104"/>
      <c r="L274" s="104"/>
      <c r="M274" s="104"/>
      <c r="N274" s="133"/>
      <c r="O274" s="234">
        <f>SUM(Fluxo_de_Caixa_Janeiro31020[[#This Row],[Janeiro]:[Dezembro]])</f>
        <v>266904.63</v>
      </c>
      <c r="P274" s="147">
        <f t="shared" si="15"/>
        <v>-7.1985027654474135E-2</v>
      </c>
      <c r="Q274" s="557">
        <v>-2.8469175229140979E-3</v>
      </c>
      <c r="R274" s="32" t="str">
        <f>IF(Fluxo_de_Caixa_Janeiro31020[[#This Row],[% ACUMULADO  1º Trimes 2026]]&lt;=Fluxo_de_Caixa_Janeiro31020[[#This Row],[% ACUMULADO  1º Trimes 2025]],"VERDADEIRO","FALSO")</f>
        <v>VERDADEIRO</v>
      </c>
      <c r="V274" s="528">
        <v>7812.4500000000007</v>
      </c>
      <c r="W274" s="600">
        <v>-2.8469175229140979E-3</v>
      </c>
    </row>
    <row r="275" spans="2:23" x14ac:dyDescent="0.25">
      <c r="B275" s="270" t="str">
        <f>Fluxo_de_Caixa_Janeiro[[#This Row],[Fluxo de Caixa 2026 CTR]]</f>
        <v>5.1.02. FINANCIAMENTO</v>
      </c>
      <c r="C275" s="369">
        <f>Fluxo_de_Caixa_Janeiro[[#This Row],[Janeiro]]</f>
        <v>0</v>
      </c>
      <c r="D275" s="370">
        <f>Fluxo_de_Caixa_Janeiro3[[#This Row],[Fevereiro]]</f>
        <v>0</v>
      </c>
      <c r="E275" s="370">
        <f>Fluxo_de_Caixa_Janeiro34[[#This Row],[Março]]</f>
        <v>0</v>
      </c>
      <c r="F275" s="80"/>
      <c r="G275" s="80"/>
      <c r="H275" s="80"/>
      <c r="I275" s="45"/>
      <c r="J275" s="80"/>
      <c r="K275" s="80"/>
      <c r="L275" s="80"/>
      <c r="M275" s="80"/>
      <c r="N275" s="134"/>
      <c r="O275" s="235">
        <f>SUM(Fluxo_de_Caixa_Janeiro31020[[#This Row],[Janeiro]:[Dezembro]])</f>
        <v>0</v>
      </c>
      <c r="P275" s="26">
        <f t="shared" si="15"/>
        <v>0</v>
      </c>
      <c r="Q275" s="329">
        <v>0</v>
      </c>
      <c r="R275" s="32" t="str">
        <f>IF(Fluxo_de_Caixa_Janeiro31020[[#This Row],[% ACUMULADO  1º Trimes 2026]]&lt;=Fluxo_de_Caixa_Janeiro31020[[#This Row],[% ACUMULADO  1º Trimes 2025]],"VERDADEIRO","FALSO")</f>
        <v>VERDADEIRO</v>
      </c>
      <c r="V275" s="529">
        <v>0</v>
      </c>
      <c r="W275" s="601">
        <v>0</v>
      </c>
    </row>
    <row r="276" spans="2:23" x14ac:dyDescent="0.25">
      <c r="B276" s="270" t="str">
        <f>Fluxo_de_Caixa_Janeiro[[#This Row],[Fluxo de Caixa 2026 CTR]]</f>
        <v>5.1.03. ENTRE EMPRESAS DO MESMO GRUPO</v>
      </c>
      <c r="C276" s="369">
        <f>Fluxo_de_Caixa_Janeiro[[#This Row],[Janeiro]]</f>
        <v>0</v>
      </c>
      <c r="D276" s="370">
        <f>Fluxo_de_Caixa_Janeiro3[[#This Row],[Fevereiro]]</f>
        <v>0</v>
      </c>
      <c r="E276" s="370">
        <f>Fluxo_de_Caixa_Janeiro34[[#This Row],[Março]]</f>
        <v>0</v>
      </c>
      <c r="F276" s="80"/>
      <c r="G276" s="80"/>
      <c r="H276" s="80"/>
      <c r="I276" s="45"/>
      <c r="J276" s="80"/>
      <c r="K276" s="80"/>
      <c r="L276" s="80"/>
      <c r="M276" s="80"/>
      <c r="N276" s="134"/>
      <c r="O276" s="235">
        <f>SUM(Fluxo_de_Caixa_Janeiro31020[[#This Row],[Janeiro]:[Dezembro]])</f>
        <v>0</v>
      </c>
      <c r="P276" s="26">
        <f t="shared" si="15"/>
        <v>0</v>
      </c>
      <c r="Q276" s="329">
        <v>0</v>
      </c>
      <c r="R276" s="32" t="str">
        <f>IF(Fluxo_de_Caixa_Janeiro31020[[#This Row],[% ACUMULADO  1º Trimes 2026]]&lt;=Fluxo_de_Caixa_Janeiro31020[[#This Row],[% ACUMULADO  1º Trimes 2025]],"VERDADEIRO","FALSO")</f>
        <v>VERDADEIRO</v>
      </c>
      <c r="V276" s="529">
        <v>0</v>
      </c>
      <c r="W276" s="601">
        <v>0</v>
      </c>
    </row>
    <row r="277" spans="2:23" ht="15.75" thickBot="1" x14ac:dyDescent="0.3">
      <c r="B277" s="270" t="str">
        <f>Fluxo_de_Caixa_Janeiro[[#This Row],[Fluxo de Caixa 2026 CTR]]</f>
        <v>5.1.04. PESSOA FISICA</v>
      </c>
      <c r="C277" s="369">
        <f>Fluxo_de_Caixa_Janeiro[[#This Row],[Janeiro]]</f>
        <v>0</v>
      </c>
      <c r="D277" s="370">
        <f>Fluxo_de_Caixa_Janeiro3[[#This Row],[Fevereiro]]</f>
        <v>0</v>
      </c>
      <c r="E277" s="370">
        <f>Fluxo_de_Caixa_Janeiro34[[#This Row],[Março]]</f>
        <v>0</v>
      </c>
      <c r="F277" s="80"/>
      <c r="G277" s="80"/>
      <c r="H277" s="80"/>
      <c r="I277" s="45"/>
      <c r="J277" s="80"/>
      <c r="K277" s="80"/>
      <c r="L277" s="80"/>
      <c r="M277" s="80"/>
      <c r="N277" s="134"/>
      <c r="O277" s="235">
        <f>SUM(Fluxo_de_Caixa_Janeiro31020[[#This Row],[Janeiro]:[Dezembro]])</f>
        <v>0</v>
      </c>
      <c r="P277" s="26">
        <f t="shared" si="15"/>
        <v>0</v>
      </c>
      <c r="Q277" s="329">
        <v>0</v>
      </c>
      <c r="R277" s="32" t="str">
        <f>IF(Fluxo_de_Caixa_Janeiro31020[[#This Row],[% ACUMULADO  1º Trimes 2026]]&lt;=Fluxo_de_Caixa_Janeiro31020[[#This Row],[% ACUMULADO  1º Trimes 2025]],"VERDADEIRO","FALSO")</f>
        <v>VERDADEIRO</v>
      </c>
      <c r="V277" s="529">
        <v>0</v>
      </c>
      <c r="W277" s="601">
        <v>0</v>
      </c>
    </row>
    <row r="278" spans="2:23" hidden="1" x14ac:dyDescent="0.25">
      <c r="B278" s="270">
        <f>Fluxo_de_Caixa_Janeiro[[#This Row],[Fluxo de Caixa 2026 CTR]]</f>
        <v>0</v>
      </c>
      <c r="C278" s="45">
        <f>Fluxo_de_Caixa_Janeiro[[#This Row],[Janeiro]]</f>
        <v>0</v>
      </c>
      <c r="D278" s="80">
        <f>Fluxo_de_Caixa_Janeiro3[[#This Row],[Fevereiro]]</f>
        <v>0</v>
      </c>
      <c r="E278" s="80">
        <f>Fluxo_de_Caixa_Janeiro34[[#This Row],[Março]]</f>
        <v>0</v>
      </c>
      <c r="F278" s="80"/>
      <c r="G278" s="80"/>
      <c r="H278" s="80"/>
      <c r="I278" s="45"/>
      <c r="J278" s="80"/>
      <c r="K278" s="80"/>
      <c r="L278" s="80"/>
      <c r="M278" s="80"/>
      <c r="N278" s="134"/>
      <c r="O278" s="235">
        <f>SUM(Fluxo_de_Caixa_Janeiro31020[[#This Row],[Janeiro]:[Dezembro]])</f>
        <v>0</v>
      </c>
      <c r="P278" s="26">
        <f t="shared" si="15"/>
        <v>0</v>
      </c>
      <c r="Q278" s="329">
        <v>0</v>
      </c>
      <c r="R278" s="32" t="str">
        <f>IF(Fluxo_de_Caixa_Janeiro31020[[#This Row],[% ACUMULADO  1º Trimes 2026]]&lt;=Fluxo_de_Caixa_Janeiro31020[[#This Row],[% ACUMULADO  1º Trimes 2025]],"VERDADEIRO","FALSO")</f>
        <v>VERDADEIRO</v>
      </c>
      <c r="V278" s="529">
        <v>0</v>
      </c>
      <c r="W278" s="601">
        <v>0</v>
      </c>
    </row>
    <row r="279" spans="2:23" hidden="1" x14ac:dyDescent="0.25">
      <c r="B279" s="391">
        <f>Fluxo_de_Caixa_Janeiro[[#This Row],[Fluxo de Caixa 2026 CTR]]</f>
        <v>0</v>
      </c>
      <c r="C279" s="372">
        <f>Fluxo_de_Caixa_Janeiro[[#This Row],[Janeiro]]</f>
        <v>0</v>
      </c>
      <c r="D279" s="374">
        <f>Fluxo_de_Caixa_Janeiro3[[#This Row],[Fevereiro]]</f>
        <v>0</v>
      </c>
      <c r="E279" s="374">
        <f>Fluxo_de_Caixa_Janeiro34[[#This Row],[Março]]</f>
        <v>0</v>
      </c>
      <c r="F279" s="374"/>
      <c r="G279" s="374"/>
      <c r="H279" s="374"/>
      <c r="I279" s="372"/>
      <c r="J279" s="374"/>
      <c r="K279" s="374"/>
      <c r="L279" s="374"/>
      <c r="M279" s="374"/>
      <c r="N279" s="376"/>
      <c r="O279" s="235">
        <f>SUM(Fluxo_de_Caixa_Janeiro31020[[#This Row],[Janeiro]:[Dezembro]])</f>
        <v>0</v>
      </c>
      <c r="P279" s="26">
        <f t="shared" si="15"/>
        <v>0</v>
      </c>
      <c r="Q279" s="329">
        <v>0</v>
      </c>
      <c r="R279" s="32" t="str">
        <f>IF(Fluxo_de_Caixa_Janeiro31020[[#This Row],[% ACUMULADO  1º Trimes 2026]]&lt;=Fluxo_de_Caixa_Janeiro31020[[#This Row],[% ACUMULADO  1º Trimes 2025]],"VERDADEIRO","FALSO")</f>
        <v>VERDADEIRO</v>
      </c>
      <c r="V279" s="529">
        <v>0</v>
      </c>
      <c r="W279" s="601">
        <v>0</v>
      </c>
    </row>
    <row r="280" spans="2:23" hidden="1" x14ac:dyDescent="0.25">
      <c r="B280" s="392">
        <f>Fluxo_de_Caixa_Janeiro[[#This Row],[Fluxo de Caixa 2026 CTR]]</f>
        <v>0</v>
      </c>
      <c r="C280" s="372">
        <f>Fluxo_de_Caixa_Janeiro[[#This Row],[Janeiro]]</f>
        <v>0</v>
      </c>
      <c r="D280" s="374">
        <f>Fluxo_de_Caixa_Janeiro3[[#This Row],[Fevereiro]]</f>
        <v>0</v>
      </c>
      <c r="E280" s="374">
        <f>Fluxo_de_Caixa_Janeiro34[[#This Row],[Março]]</f>
        <v>0</v>
      </c>
      <c r="F280" s="374"/>
      <c r="G280" s="374"/>
      <c r="H280" s="374"/>
      <c r="I280" s="372"/>
      <c r="J280" s="374"/>
      <c r="K280" s="374"/>
      <c r="L280" s="374"/>
      <c r="M280" s="374"/>
      <c r="N280" s="376"/>
      <c r="O280" s="235">
        <f>SUM(Fluxo_de_Caixa_Janeiro31020[[#This Row],[Janeiro]:[Dezembro]])</f>
        <v>0</v>
      </c>
      <c r="P280" s="26">
        <f t="shared" si="15"/>
        <v>0</v>
      </c>
      <c r="Q280" s="329">
        <v>0</v>
      </c>
      <c r="R280" s="32" t="str">
        <f>IF(Fluxo_de_Caixa_Janeiro31020[[#This Row],[% ACUMULADO  1º Trimes 2026]]&lt;=Fluxo_de_Caixa_Janeiro31020[[#This Row],[% ACUMULADO  1º Trimes 2025]],"VERDADEIRO","FALSO")</f>
        <v>VERDADEIRO</v>
      </c>
      <c r="V280" s="529">
        <v>0</v>
      </c>
      <c r="W280" s="601">
        <v>0</v>
      </c>
    </row>
    <row r="281" spans="2:23" hidden="1" x14ac:dyDescent="0.25">
      <c r="B281" s="392">
        <f>Fluxo_de_Caixa_Janeiro[[#This Row],[Fluxo de Caixa 2026 CTR]]</f>
        <v>0</v>
      </c>
      <c r="C281" s="372">
        <f>Fluxo_de_Caixa_Janeiro[[#This Row],[Janeiro]]</f>
        <v>0</v>
      </c>
      <c r="D281" s="374">
        <f>Fluxo_de_Caixa_Janeiro3[[#This Row],[Fevereiro]]</f>
        <v>0</v>
      </c>
      <c r="E281" s="374">
        <f>Fluxo_de_Caixa_Janeiro34[[#This Row],[Março]]</f>
        <v>0</v>
      </c>
      <c r="F281" s="374"/>
      <c r="G281" s="374"/>
      <c r="H281" s="374"/>
      <c r="I281" s="372"/>
      <c r="J281" s="374"/>
      <c r="K281" s="374"/>
      <c r="L281" s="374"/>
      <c r="M281" s="374"/>
      <c r="N281" s="376"/>
      <c r="O281" s="235">
        <f>SUM(Fluxo_de_Caixa_Janeiro31020[[#This Row],[Janeiro]:[Dezembro]])</f>
        <v>0</v>
      </c>
      <c r="P281" s="26">
        <f t="shared" si="15"/>
        <v>0</v>
      </c>
      <c r="Q281" s="329">
        <v>0</v>
      </c>
      <c r="R281" s="32" t="str">
        <f>IF(Fluxo_de_Caixa_Janeiro31020[[#This Row],[% ACUMULADO  1º Trimes 2026]]&lt;=Fluxo_de_Caixa_Janeiro31020[[#This Row],[% ACUMULADO  1º Trimes 2025]],"VERDADEIRO","FALSO")</f>
        <v>VERDADEIRO</v>
      </c>
      <c r="V281" s="529">
        <v>0</v>
      </c>
      <c r="W281" s="601">
        <v>0</v>
      </c>
    </row>
    <row r="282" spans="2:23" hidden="1" x14ac:dyDescent="0.25">
      <c r="B282" s="392">
        <f>Fluxo_de_Caixa_Janeiro[[#This Row],[Fluxo de Caixa 2026 CTR]]</f>
        <v>0</v>
      </c>
      <c r="C282" s="372">
        <f>Fluxo_de_Caixa_Janeiro[[#This Row],[Janeiro]]</f>
        <v>0</v>
      </c>
      <c r="D282" s="374">
        <f>Fluxo_de_Caixa_Janeiro3[[#This Row],[Fevereiro]]</f>
        <v>0</v>
      </c>
      <c r="E282" s="374">
        <f>Fluxo_de_Caixa_Janeiro34[[#This Row],[Março]]</f>
        <v>0</v>
      </c>
      <c r="F282" s="374"/>
      <c r="G282" s="374"/>
      <c r="H282" s="374"/>
      <c r="I282" s="372"/>
      <c r="J282" s="374"/>
      <c r="K282" s="374"/>
      <c r="L282" s="374"/>
      <c r="M282" s="374"/>
      <c r="N282" s="376"/>
      <c r="O282" s="235">
        <f>SUM(Fluxo_de_Caixa_Janeiro31020[[#This Row],[Janeiro]:[Dezembro]])</f>
        <v>0</v>
      </c>
      <c r="P282" s="26">
        <f t="shared" si="15"/>
        <v>0</v>
      </c>
      <c r="Q282" s="329">
        <v>0</v>
      </c>
      <c r="R282" s="32" t="str">
        <f>IF(Fluxo_de_Caixa_Janeiro31020[[#This Row],[% ACUMULADO  1º Trimes 2026]]&lt;=Fluxo_de_Caixa_Janeiro31020[[#This Row],[% ACUMULADO  1º Trimes 2025]],"VERDADEIRO","FALSO")</f>
        <v>VERDADEIRO</v>
      </c>
      <c r="V282" s="529">
        <v>0</v>
      </c>
      <c r="W282" s="601">
        <v>0</v>
      </c>
    </row>
    <row r="283" spans="2:23" hidden="1" x14ac:dyDescent="0.25">
      <c r="B283" s="392">
        <f>Fluxo_de_Caixa_Janeiro[[#This Row],[Fluxo de Caixa 2026 CTR]]</f>
        <v>0</v>
      </c>
      <c r="C283" s="372">
        <f>Fluxo_de_Caixa_Janeiro[[#This Row],[Janeiro]]</f>
        <v>0</v>
      </c>
      <c r="D283" s="374">
        <f>Fluxo_de_Caixa_Janeiro3[[#This Row],[Fevereiro]]</f>
        <v>0</v>
      </c>
      <c r="E283" s="374">
        <f>Fluxo_de_Caixa_Janeiro34[[#This Row],[Março]]</f>
        <v>0</v>
      </c>
      <c r="F283" s="374"/>
      <c r="G283" s="374"/>
      <c r="H283" s="374"/>
      <c r="I283" s="372"/>
      <c r="J283" s="374"/>
      <c r="K283" s="374"/>
      <c r="L283" s="374"/>
      <c r="M283" s="374"/>
      <c r="N283" s="376"/>
      <c r="O283" s="235">
        <f>SUM(Fluxo_de_Caixa_Janeiro31020[[#This Row],[Janeiro]:[Dezembro]])</f>
        <v>0</v>
      </c>
      <c r="P283" s="26">
        <f t="shared" si="15"/>
        <v>0</v>
      </c>
      <c r="Q283" s="329">
        <v>0</v>
      </c>
      <c r="R283" s="32" t="str">
        <f>IF(Fluxo_de_Caixa_Janeiro31020[[#This Row],[% ACUMULADO  1º Trimes 2026]]&lt;=Fluxo_de_Caixa_Janeiro31020[[#This Row],[% ACUMULADO  1º Trimes 2025]],"VERDADEIRO","FALSO")</f>
        <v>VERDADEIRO</v>
      </c>
      <c r="V283" s="529">
        <v>0</v>
      </c>
      <c r="W283" s="601">
        <v>0</v>
      </c>
    </row>
    <row r="284" spans="2:23" hidden="1" x14ac:dyDescent="0.25">
      <c r="B284" s="392">
        <f>Fluxo_de_Caixa_Janeiro[[#This Row],[Fluxo de Caixa 2026 CTR]]</f>
        <v>0</v>
      </c>
      <c r="C284" s="372">
        <f>Fluxo_de_Caixa_Janeiro[[#This Row],[Janeiro]]</f>
        <v>0</v>
      </c>
      <c r="D284" s="374">
        <f>Fluxo_de_Caixa_Janeiro3[[#This Row],[Fevereiro]]</f>
        <v>0</v>
      </c>
      <c r="E284" s="374">
        <f>Fluxo_de_Caixa_Janeiro34[[#This Row],[Março]]</f>
        <v>0</v>
      </c>
      <c r="F284" s="374"/>
      <c r="G284" s="374"/>
      <c r="H284" s="374"/>
      <c r="I284" s="372"/>
      <c r="J284" s="374"/>
      <c r="K284" s="374"/>
      <c r="L284" s="374"/>
      <c r="M284" s="374"/>
      <c r="N284" s="376"/>
      <c r="O284" s="235">
        <f>SUM(Fluxo_de_Caixa_Janeiro31020[[#This Row],[Janeiro]:[Dezembro]])</f>
        <v>0</v>
      </c>
      <c r="P284" s="26">
        <f t="shared" si="15"/>
        <v>0</v>
      </c>
      <c r="Q284" s="329">
        <v>0</v>
      </c>
      <c r="R284" s="32" t="str">
        <f>IF(Fluxo_de_Caixa_Janeiro31020[[#This Row],[% ACUMULADO  1º Trimes 2026]]&lt;=Fluxo_de_Caixa_Janeiro31020[[#This Row],[% ACUMULADO  1º Trimes 2025]],"VERDADEIRO","FALSO")</f>
        <v>VERDADEIRO</v>
      </c>
      <c r="V284" s="529">
        <v>0</v>
      </c>
      <c r="W284" s="601">
        <v>0</v>
      </c>
    </row>
    <row r="285" spans="2:23" hidden="1" x14ac:dyDescent="0.25">
      <c r="B285" s="392">
        <f>Fluxo_de_Caixa_Janeiro[[#This Row],[Fluxo de Caixa 2026 CTR]]</f>
        <v>0</v>
      </c>
      <c r="C285" s="372">
        <f>Fluxo_de_Caixa_Janeiro[[#This Row],[Janeiro]]</f>
        <v>0</v>
      </c>
      <c r="D285" s="374">
        <f>Fluxo_de_Caixa_Janeiro3[[#This Row],[Fevereiro]]</f>
        <v>0</v>
      </c>
      <c r="E285" s="374">
        <f>Fluxo_de_Caixa_Janeiro34[[#This Row],[Março]]</f>
        <v>0</v>
      </c>
      <c r="F285" s="374"/>
      <c r="G285" s="374"/>
      <c r="H285" s="374"/>
      <c r="I285" s="372"/>
      <c r="J285" s="374"/>
      <c r="K285" s="374"/>
      <c r="L285" s="374"/>
      <c r="M285" s="374"/>
      <c r="N285" s="376"/>
      <c r="O285" s="235">
        <f>SUM(Fluxo_de_Caixa_Janeiro31020[[#This Row],[Janeiro]:[Dezembro]])</f>
        <v>0</v>
      </c>
      <c r="P285" s="26">
        <f t="shared" si="15"/>
        <v>0</v>
      </c>
      <c r="Q285" s="329">
        <v>0</v>
      </c>
      <c r="R285" s="32" t="str">
        <f>IF(Fluxo_de_Caixa_Janeiro31020[[#This Row],[% ACUMULADO  1º Trimes 2026]]&lt;=Fluxo_de_Caixa_Janeiro31020[[#This Row],[% ACUMULADO  1º Trimes 2025]],"VERDADEIRO","FALSO")</f>
        <v>VERDADEIRO</v>
      </c>
      <c r="V285" s="529">
        <v>0</v>
      </c>
      <c r="W285" s="601">
        <v>0</v>
      </c>
    </row>
    <row r="286" spans="2:23" hidden="1" x14ac:dyDescent="0.25">
      <c r="B286" s="392">
        <f>Fluxo_de_Caixa_Janeiro[[#This Row],[Fluxo de Caixa 2026 CTR]]</f>
        <v>0</v>
      </c>
      <c r="C286" s="372">
        <f>Fluxo_de_Caixa_Janeiro[[#This Row],[Janeiro]]</f>
        <v>0</v>
      </c>
      <c r="D286" s="374">
        <f>Fluxo_de_Caixa_Janeiro3[[#This Row],[Fevereiro]]</f>
        <v>0</v>
      </c>
      <c r="E286" s="374">
        <f>Fluxo_de_Caixa_Janeiro34[[#This Row],[Março]]</f>
        <v>0</v>
      </c>
      <c r="F286" s="374"/>
      <c r="G286" s="374"/>
      <c r="H286" s="374"/>
      <c r="I286" s="372"/>
      <c r="J286" s="374"/>
      <c r="K286" s="374"/>
      <c r="L286" s="374"/>
      <c r="M286" s="374"/>
      <c r="N286" s="376"/>
      <c r="O286" s="235">
        <f>SUM(Fluxo_de_Caixa_Janeiro31020[[#This Row],[Janeiro]:[Dezembro]])</f>
        <v>0</v>
      </c>
      <c r="P286" s="26">
        <f t="shared" si="15"/>
        <v>0</v>
      </c>
      <c r="Q286" s="329">
        <v>0</v>
      </c>
      <c r="R286" s="32" t="str">
        <f>IF(Fluxo_de_Caixa_Janeiro31020[[#This Row],[% ACUMULADO  1º Trimes 2026]]&lt;=Fluxo_de_Caixa_Janeiro31020[[#This Row],[% ACUMULADO  1º Trimes 2025]],"VERDADEIRO","FALSO")</f>
        <v>VERDADEIRO</v>
      </c>
      <c r="V286" s="529">
        <v>0</v>
      </c>
      <c r="W286" s="601">
        <v>0</v>
      </c>
    </row>
    <row r="287" spans="2:23" hidden="1" x14ac:dyDescent="0.25">
      <c r="B287" s="391">
        <f>Fluxo_de_Caixa_Janeiro[[#This Row],[Fluxo de Caixa 2026 CTR]]</f>
        <v>0</v>
      </c>
      <c r="C287" s="372">
        <f>Fluxo_de_Caixa_Janeiro[[#This Row],[Janeiro]]</f>
        <v>0</v>
      </c>
      <c r="D287" s="374">
        <f>Fluxo_de_Caixa_Janeiro3[[#This Row],[Fevereiro]]</f>
        <v>0</v>
      </c>
      <c r="E287" s="374">
        <f>Fluxo_de_Caixa_Janeiro34[[#This Row],[Março]]</f>
        <v>0</v>
      </c>
      <c r="F287" s="374"/>
      <c r="G287" s="374"/>
      <c r="H287" s="374"/>
      <c r="I287" s="372"/>
      <c r="J287" s="374"/>
      <c r="K287" s="374"/>
      <c r="L287" s="374"/>
      <c r="M287" s="374"/>
      <c r="N287" s="376"/>
      <c r="O287" s="235">
        <f>SUM(Fluxo_de_Caixa_Janeiro31020[[#This Row],[Janeiro]:[Dezembro]])</f>
        <v>0</v>
      </c>
      <c r="P287" s="26">
        <f t="shared" si="15"/>
        <v>0</v>
      </c>
      <c r="Q287" s="329">
        <v>0</v>
      </c>
      <c r="R287" s="32" t="str">
        <f>IF(Fluxo_de_Caixa_Janeiro31020[[#This Row],[% ACUMULADO  1º Trimes 2026]]&lt;=Fluxo_de_Caixa_Janeiro31020[[#This Row],[% ACUMULADO  1º Trimes 2025]],"VERDADEIRO","FALSO")</f>
        <v>VERDADEIRO</v>
      </c>
      <c r="V287" s="529">
        <v>0</v>
      </c>
      <c r="W287" s="601">
        <v>0</v>
      </c>
    </row>
    <row r="288" spans="2:23" hidden="1" x14ac:dyDescent="0.25">
      <c r="B288" s="391">
        <f>Fluxo_de_Caixa_Janeiro[[#This Row],[Fluxo de Caixa 2026 CTR]]</f>
        <v>0</v>
      </c>
      <c r="C288" s="373">
        <f>Fluxo_de_Caixa_Janeiro[[#This Row],[Janeiro]]</f>
        <v>0</v>
      </c>
      <c r="D288" s="375">
        <f>Fluxo_de_Caixa_Janeiro3[[#This Row],[Fevereiro]]</f>
        <v>0</v>
      </c>
      <c r="E288" s="375">
        <f>Fluxo_de_Caixa_Janeiro34[[#This Row],[Março]]</f>
        <v>0</v>
      </c>
      <c r="F288" s="375"/>
      <c r="G288" s="375"/>
      <c r="H288" s="375"/>
      <c r="I288" s="373"/>
      <c r="J288" s="375"/>
      <c r="K288" s="375"/>
      <c r="L288" s="375"/>
      <c r="M288" s="375"/>
      <c r="N288" s="377"/>
      <c r="O288" s="235">
        <f>SUM(Fluxo_de_Caixa_Janeiro31020[[#This Row],[Janeiro]:[Dezembro]])</f>
        <v>0</v>
      </c>
      <c r="P288" s="26">
        <f t="shared" si="15"/>
        <v>0</v>
      </c>
      <c r="Q288" s="329">
        <v>0</v>
      </c>
      <c r="R288" s="32" t="str">
        <f>IF(Fluxo_de_Caixa_Janeiro31020[[#This Row],[% ACUMULADO  1º Trimes 2026]]&lt;=Fluxo_de_Caixa_Janeiro31020[[#This Row],[% ACUMULADO  1º Trimes 2025]],"VERDADEIRO","FALSO")</f>
        <v>VERDADEIRO</v>
      </c>
      <c r="V288" s="529">
        <v>0</v>
      </c>
      <c r="W288" s="601">
        <v>0</v>
      </c>
    </row>
    <row r="289" spans="2:23" hidden="1" x14ac:dyDescent="0.25">
      <c r="B289" s="392">
        <f>Fluxo_de_Caixa_Janeiro[[#This Row],[Fluxo de Caixa 2026 CTR]]</f>
        <v>0</v>
      </c>
      <c r="C289" s="372">
        <f>Fluxo_de_Caixa_Janeiro[[#This Row],[Janeiro]]</f>
        <v>0</v>
      </c>
      <c r="D289" s="374">
        <f>Fluxo_de_Caixa_Janeiro3[[#This Row],[Fevereiro]]</f>
        <v>0</v>
      </c>
      <c r="E289" s="374">
        <f>Fluxo_de_Caixa_Janeiro34[[#This Row],[Março]]</f>
        <v>0</v>
      </c>
      <c r="F289" s="374"/>
      <c r="G289" s="374"/>
      <c r="H289" s="374"/>
      <c r="I289" s="372"/>
      <c r="J289" s="374"/>
      <c r="K289" s="374"/>
      <c r="L289" s="374"/>
      <c r="M289" s="374"/>
      <c r="N289" s="376"/>
      <c r="O289" s="235">
        <f>SUM(Fluxo_de_Caixa_Janeiro31020[[#This Row],[Janeiro]:[Dezembro]])</f>
        <v>0</v>
      </c>
      <c r="P289" s="26">
        <f t="shared" si="15"/>
        <v>0</v>
      </c>
      <c r="Q289" s="329">
        <v>0</v>
      </c>
      <c r="R289" s="32" t="str">
        <f>IF(Fluxo_de_Caixa_Janeiro31020[[#This Row],[% ACUMULADO  1º Trimes 2026]]&lt;=Fluxo_de_Caixa_Janeiro31020[[#This Row],[% ACUMULADO  1º Trimes 2025]],"VERDADEIRO","FALSO")</f>
        <v>VERDADEIRO</v>
      </c>
      <c r="V289" s="529">
        <v>0</v>
      </c>
      <c r="W289" s="601">
        <v>0</v>
      </c>
    </row>
    <row r="290" spans="2:23" hidden="1" x14ac:dyDescent="0.25">
      <c r="B290" s="392">
        <f>Fluxo_de_Caixa_Janeiro[[#This Row],[Fluxo de Caixa 2026 CTR]]</f>
        <v>0</v>
      </c>
      <c r="C290" s="373">
        <f>Fluxo_de_Caixa_Janeiro[[#This Row],[Janeiro]]</f>
        <v>0</v>
      </c>
      <c r="D290" s="375">
        <f>Fluxo_de_Caixa_Janeiro3[[#This Row],[Fevereiro]]</f>
        <v>0</v>
      </c>
      <c r="E290" s="375">
        <f>Fluxo_de_Caixa_Janeiro34[[#This Row],[Março]]</f>
        <v>0</v>
      </c>
      <c r="F290" s="375"/>
      <c r="G290" s="375"/>
      <c r="H290" s="375"/>
      <c r="I290" s="373"/>
      <c r="J290" s="375"/>
      <c r="K290" s="375"/>
      <c r="L290" s="375"/>
      <c r="M290" s="375"/>
      <c r="N290" s="377"/>
      <c r="O290" s="235">
        <f>SUM(Fluxo_de_Caixa_Janeiro31020[[#This Row],[Janeiro]:[Dezembro]])</f>
        <v>0</v>
      </c>
      <c r="P290" s="26">
        <f t="shared" si="15"/>
        <v>0</v>
      </c>
      <c r="Q290" s="329">
        <v>0</v>
      </c>
      <c r="R290" s="32" t="str">
        <f>IF(Fluxo_de_Caixa_Janeiro31020[[#This Row],[% ACUMULADO  1º Trimes 2026]]&lt;=Fluxo_de_Caixa_Janeiro31020[[#This Row],[% ACUMULADO  1º Trimes 2025]],"VERDADEIRO","FALSO")</f>
        <v>VERDADEIRO</v>
      </c>
      <c r="V290" s="529">
        <v>0</v>
      </c>
      <c r="W290" s="601">
        <v>0</v>
      </c>
    </row>
    <row r="291" spans="2:23" hidden="1" x14ac:dyDescent="0.25">
      <c r="B291" s="270">
        <f>Fluxo_de_Caixa_Janeiro[[#This Row],[Fluxo de Caixa 2026 CTR]]</f>
        <v>0</v>
      </c>
      <c r="C291" s="45">
        <f>Fluxo_de_Caixa_Janeiro[[#This Row],[Janeiro]]</f>
        <v>0</v>
      </c>
      <c r="D291" s="80">
        <f>Fluxo_de_Caixa_Janeiro3[[#This Row],[Fevereiro]]</f>
        <v>0</v>
      </c>
      <c r="E291" s="80">
        <f>Fluxo_de_Caixa_Janeiro34[[#This Row],[Março]]</f>
        <v>0</v>
      </c>
      <c r="F291" s="80"/>
      <c r="G291" s="80"/>
      <c r="H291" s="80"/>
      <c r="I291" s="45"/>
      <c r="J291" s="80"/>
      <c r="K291" s="80"/>
      <c r="L291" s="80"/>
      <c r="M291" s="80"/>
      <c r="N291" s="134"/>
      <c r="O291" s="235">
        <f>SUM(Fluxo_de_Caixa_Janeiro31020[[#This Row],[Janeiro]:[Dezembro]])</f>
        <v>0</v>
      </c>
      <c r="P291" s="26">
        <f t="shared" si="15"/>
        <v>0</v>
      </c>
      <c r="Q291" s="329">
        <v>0</v>
      </c>
      <c r="R291" s="32" t="str">
        <f>IF(Fluxo_de_Caixa_Janeiro31020[[#This Row],[% ACUMULADO  1º Trimes 2026]]&lt;=Fluxo_de_Caixa_Janeiro31020[[#This Row],[% ACUMULADO  1º Trimes 2025]],"VERDADEIRO","FALSO")</f>
        <v>VERDADEIRO</v>
      </c>
      <c r="V291" s="529">
        <v>0</v>
      </c>
      <c r="W291" s="601">
        <v>0</v>
      </c>
    </row>
    <row r="292" spans="2:23" hidden="1" x14ac:dyDescent="0.25">
      <c r="B292" s="270">
        <f>Fluxo_de_Caixa_Janeiro[[#This Row],[Fluxo de Caixa 2026 CTR]]</f>
        <v>0</v>
      </c>
      <c r="C292" s="45">
        <f>Fluxo_de_Caixa_Janeiro[[#This Row],[Janeiro]]</f>
        <v>0</v>
      </c>
      <c r="D292" s="80">
        <f>Fluxo_de_Caixa_Janeiro3[[#This Row],[Fevereiro]]</f>
        <v>0</v>
      </c>
      <c r="E292" s="80">
        <f>Fluxo_de_Caixa_Janeiro34[[#This Row],[Março]]</f>
        <v>0</v>
      </c>
      <c r="F292" s="80"/>
      <c r="G292" s="80"/>
      <c r="H292" s="80"/>
      <c r="I292" s="45"/>
      <c r="J292" s="80"/>
      <c r="K292" s="80"/>
      <c r="L292" s="80"/>
      <c r="M292" s="80"/>
      <c r="N292" s="134"/>
      <c r="O292" s="235">
        <f>SUM(Fluxo_de_Caixa_Janeiro31020[[#This Row],[Janeiro]:[Dezembro]])</f>
        <v>0</v>
      </c>
      <c r="P292" s="26">
        <f t="shared" si="15"/>
        <v>0</v>
      </c>
      <c r="Q292" s="329">
        <v>0</v>
      </c>
      <c r="R292" s="32" t="str">
        <f>IF(Fluxo_de_Caixa_Janeiro31020[[#This Row],[% ACUMULADO  1º Trimes 2026]]&lt;=Fluxo_de_Caixa_Janeiro31020[[#This Row],[% ACUMULADO  1º Trimes 2025]],"VERDADEIRO","FALSO")</f>
        <v>VERDADEIRO</v>
      </c>
      <c r="V292" s="529">
        <v>0</v>
      </c>
      <c r="W292" s="601">
        <v>0</v>
      </c>
    </row>
    <row r="293" spans="2:23" ht="15.75" hidden="1" thickBot="1" x14ac:dyDescent="0.3">
      <c r="B293" s="280">
        <f>Fluxo_de_Caixa_Janeiro[[#This Row],[Fluxo de Caixa 2026 CTR]]</f>
        <v>0</v>
      </c>
      <c r="C293" s="163">
        <f>Fluxo_de_Caixa_Janeiro[[#This Row],[Janeiro]]</f>
        <v>0</v>
      </c>
      <c r="D293" s="106">
        <f>Fluxo_de_Caixa_Janeiro3[[#This Row],[Fevereiro]]</f>
        <v>0</v>
      </c>
      <c r="E293" s="106">
        <f>Fluxo_de_Caixa_Janeiro34[[#This Row],[Março]]</f>
        <v>0</v>
      </c>
      <c r="F293" s="106"/>
      <c r="G293" s="106"/>
      <c r="H293" s="106"/>
      <c r="I293" s="163"/>
      <c r="J293" s="106"/>
      <c r="K293" s="106"/>
      <c r="L293" s="106"/>
      <c r="M293" s="106"/>
      <c r="N293" s="135"/>
      <c r="O293" s="236">
        <f>SUM(Fluxo_de_Caixa_Janeiro31020[[#This Row],[Janeiro]:[Dezembro]])</f>
        <v>0</v>
      </c>
      <c r="P293" s="148">
        <f t="shared" si="15"/>
        <v>0</v>
      </c>
      <c r="Q293" s="558">
        <v>0</v>
      </c>
      <c r="R293" s="32" t="str">
        <f>IF(Fluxo_de_Caixa_Janeiro31020[[#This Row],[% ACUMULADO  1º Trimes 2026]]&lt;=Fluxo_de_Caixa_Janeiro31020[[#This Row],[% ACUMULADO  1º Trimes 2025]],"VERDADEIRO","FALSO")</f>
        <v>VERDADEIRO</v>
      </c>
      <c r="V293" s="530">
        <v>0</v>
      </c>
      <c r="W293" s="602">
        <v>0</v>
      </c>
    </row>
    <row r="294" spans="2:23" ht="19.5" thickBot="1" x14ac:dyDescent="0.35">
      <c r="B294" s="168" t="str">
        <f>Fluxo_de_Caixa_Janeiro[[#This Row],[Fluxo de Caixa 2026 CTR]]</f>
        <v>5.2 DESPESA COM INVESTIMENTO</v>
      </c>
      <c r="C294" s="158">
        <f>Fluxo_de_Caixa_Janeiro[[#This Row],[Janeiro]]</f>
        <v>-12574.220000000001</v>
      </c>
      <c r="D294" s="97">
        <f>Fluxo_de_Caixa_Janeiro3[[#This Row],[Fevereiro]]</f>
        <v>-108972.08</v>
      </c>
      <c r="E294" s="97">
        <f>Fluxo_de_Caixa_Janeiro34[[#This Row],[Março]]</f>
        <v>-404188.3</v>
      </c>
      <c r="F294" s="97"/>
      <c r="G294" s="97"/>
      <c r="H294" s="97"/>
      <c r="I294" s="158"/>
      <c r="J294" s="97"/>
      <c r="K294" s="97"/>
      <c r="L294" s="97"/>
      <c r="M294" s="97"/>
      <c r="N294" s="129"/>
      <c r="O294" s="226">
        <f>SUM(Fluxo_de_Caixa_Janeiro31020[[#This Row],[Janeiro]:[Dezembro]])</f>
        <v>-525734.6</v>
      </c>
      <c r="P294" s="144">
        <f t="shared" si="15"/>
        <v>0.1417922938238797</v>
      </c>
      <c r="Q294" s="549">
        <v>6.4309835087079159E-2</v>
      </c>
      <c r="R294" s="32" t="str">
        <f>IF(Fluxo_de_Caixa_Janeiro31020[[#This Row],[% ACUMULADO  1º Trimes 2026]]&lt;=Fluxo_de_Caixa_Janeiro31020[[#This Row],[% ACUMULADO  1º Trimes 2025]],"VERDADEIRO","FALSO")</f>
        <v>FALSO</v>
      </c>
      <c r="V294" s="518">
        <v>-176477.67</v>
      </c>
      <c r="W294" s="592">
        <v>6.4309835087079159E-2</v>
      </c>
    </row>
    <row r="295" spans="2:23" x14ac:dyDescent="0.25">
      <c r="B295" s="270" t="str">
        <f>Fluxo_de_Caixa_Janeiro[[#This Row],[Fluxo de Caixa 2026 CTR]]</f>
        <v>5.2.01. IMÓVEIS</v>
      </c>
      <c r="C295" s="369">
        <f>Fluxo_de_Caixa_Janeiro[[#This Row],[Janeiro]]</f>
        <v>0</v>
      </c>
      <c r="D295" s="370">
        <f>Fluxo_de_Caixa_Janeiro3[[#This Row],[Fevereiro]]</f>
        <v>100000</v>
      </c>
      <c r="E295" s="370">
        <f>Fluxo_de_Caixa_Janeiro34[[#This Row],[Março]]</f>
        <v>400000</v>
      </c>
      <c r="F295" s="80"/>
      <c r="G295" s="80"/>
      <c r="H295" s="80"/>
      <c r="I295" s="45"/>
      <c r="J295" s="80"/>
      <c r="K295" s="80"/>
      <c r="L295" s="80"/>
      <c r="M295" s="80"/>
      <c r="N295" s="134"/>
      <c r="O295" s="235">
        <f>SUM(Fluxo_de_Caixa_Janeiro31020[[#This Row],[Janeiro]:[Dezembro]])</f>
        <v>500000</v>
      </c>
      <c r="P295" s="26">
        <f t="shared" si="15"/>
        <v>-0.13485159034984542</v>
      </c>
      <c r="Q295" s="329">
        <v>-8.647797352690481E-4</v>
      </c>
      <c r="R295" s="32" t="str">
        <f>IF(Fluxo_de_Caixa_Janeiro31020[[#This Row],[% ACUMULADO  1º Trimes 2026]]&lt;=Fluxo_de_Caixa_Janeiro31020[[#This Row],[% ACUMULADO  1º Trimes 2025]],"VERDADEIRO","FALSO")</f>
        <v>VERDADEIRO</v>
      </c>
      <c r="V295" s="529">
        <v>2373.11</v>
      </c>
      <c r="W295" s="601">
        <v>-8.647797352690481E-4</v>
      </c>
    </row>
    <row r="296" spans="2:23" x14ac:dyDescent="0.25">
      <c r="B296" s="391" t="str">
        <f>Fluxo_de_Caixa_Janeiro[[#This Row],[Fluxo de Caixa 2026 CTR]]</f>
        <v>5.2.02. CONSTRUCAO E AMPLIAÇÕES EXTRUTURA</v>
      </c>
      <c r="C296" s="369">
        <f>Fluxo_de_Caixa_Janeiro[[#This Row],[Janeiro]]</f>
        <v>0</v>
      </c>
      <c r="D296" s="370">
        <f>Fluxo_de_Caixa_Janeiro3[[#This Row],[Fevereiro]]</f>
        <v>0</v>
      </c>
      <c r="E296" s="370">
        <f>Fluxo_de_Caixa_Janeiro34[[#This Row],[Março]]</f>
        <v>0</v>
      </c>
      <c r="F296" s="374"/>
      <c r="G296" s="374"/>
      <c r="H296" s="374"/>
      <c r="I296" s="372"/>
      <c r="J296" s="374"/>
      <c r="K296" s="374"/>
      <c r="L296" s="374"/>
      <c r="M296" s="374"/>
      <c r="N296" s="376"/>
      <c r="O296" s="235">
        <f>SUM(Fluxo_de_Caixa_Janeiro31020[[#This Row],[Janeiro]:[Dezembro]])</f>
        <v>0</v>
      </c>
      <c r="P296" s="26">
        <f t="shared" si="15"/>
        <v>0</v>
      </c>
      <c r="Q296" s="329">
        <v>0</v>
      </c>
      <c r="R296" s="32" t="str">
        <f>IF(Fluxo_de_Caixa_Janeiro31020[[#This Row],[% ACUMULADO  1º Trimes 2026]]&lt;=Fluxo_de_Caixa_Janeiro31020[[#This Row],[% ACUMULADO  1º Trimes 2025]],"VERDADEIRO","FALSO")</f>
        <v>VERDADEIRO</v>
      </c>
      <c r="V296" s="529">
        <v>0</v>
      </c>
      <c r="W296" s="601">
        <v>0</v>
      </c>
    </row>
    <row r="297" spans="2:23" x14ac:dyDescent="0.25">
      <c r="B297" s="391" t="str">
        <f>Fluxo_de_Caixa_Janeiro[[#This Row],[Fluxo de Caixa 2026 CTR]]</f>
        <v>5.2.03. LEASING</v>
      </c>
      <c r="C297" s="369">
        <f>Fluxo_de_Caixa_Janeiro[[#This Row],[Janeiro]]</f>
        <v>0</v>
      </c>
      <c r="D297" s="370">
        <f>Fluxo_de_Caixa_Janeiro3[[#This Row],[Fevereiro]]</f>
        <v>0</v>
      </c>
      <c r="E297" s="370">
        <f>Fluxo_de_Caixa_Janeiro34[[#This Row],[Março]]</f>
        <v>0</v>
      </c>
      <c r="F297" s="374"/>
      <c r="G297" s="374"/>
      <c r="H297" s="374"/>
      <c r="I297" s="372"/>
      <c r="J297" s="374"/>
      <c r="K297" s="374"/>
      <c r="L297" s="374"/>
      <c r="M297" s="374"/>
      <c r="N297" s="376"/>
      <c r="O297" s="235">
        <f>SUM(Fluxo_de_Caixa_Janeiro31020[[#This Row],[Janeiro]:[Dezembro]])</f>
        <v>0</v>
      </c>
      <c r="P297" s="26">
        <f t="shared" si="15"/>
        <v>0</v>
      </c>
      <c r="Q297" s="329">
        <v>0</v>
      </c>
      <c r="R297" s="32" t="str">
        <f>IF(Fluxo_de_Caixa_Janeiro31020[[#This Row],[% ACUMULADO  1º Trimes 2026]]&lt;=Fluxo_de_Caixa_Janeiro31020[[#This Row],[% ACUMULADO  1º Trimes 2025]],"VERDADEIRO","FALSO")</f>
        <v>VERDADEIRO</v>
      </c>
      <c r="V297" s="529">
        <v>0</v>
      </c>
      <c r="W297" s="601">
        <v>0</v>
      </c>
    </row>
    <row r="298" spans="2:23" x14ac:dyDescent="0.25">
      <c r="B298" s="391" t="str">
        <f>Fluxo_de_Caixa_Janeiro[[#This Row],[Fluxo de Caixa 2026 CTR]]</f>
        <v>5.2.04. COMPRA DE TERRENOS</v>
      </c>
      <c r="C298" s="369">
        <f>Fluxo_de_Caixa_Janeiro[[#This Row],[Janeiro]]</f>
        <v>0</v>
      </c>
      <c r="D298" s="370">
        <f>Fluxo_de_Caixa_Janeiro3[[#This Row],[Fevereiro]]</f>
        <v>2373.11</v>
      </c>
      <c r="E298" s="370">
        <f>Fluxo_de_Caixa_Janeiro34[[#This Row],[Março]]</f>
        <v>2536.86</v>
      </c>
      <c r="F298" s="374"/>
      <c r="G298" s="374"/>
      <c r="H298" s="374"/>
      <c r="I298" s="372"/>
      <c r="J298" s="374"/>
      <c r="K298" s="374"/>
      <c r="L298" s="374"/>
      <c r="M298" s="374"/>
      <c r="N298" s="376"/>
      <c r="O298" s="235">
        <f>SUM(Fluxo_de_Caixa_Janeiro31020[[#This Row],[Janeiro]:[Dezembro]])</f>
        <v>4909.97</v>
      </c>
      <c r="P298" s="26">
        <f t="shared" si="15"/>
        <v>-1.3242345261400613E-3</v>
      </c>
      <c r="Q298" s="329">
        <v>-7.5782969734239781E-4</v>
      </c>
      <c r="R298" s="32" t="str">
        <f>IF(Fluxo_de_Caixa_Janeiro31020[[#This Row],[% ACUMULADO  1º Trimes 2026]]&lt;=Fluxo_de_Caixa_Janeiro31020[[#This Row],[% ACUMULADO  1º Trimes 2025]],"VERDADEIRO","FALSO")</f>
        <v>VERDADEIRO</v>
      </c>
      <c r="V298" s="529">
        <v>2079.62</v>
      </c>
      <c r="W298" s="601">
        <v>-7.5782969734239781E-4</v>
      </c>
    </row>
    <row r="299" spans="2:23" x14ac:dyDescent="0.25">
      <c r="B299" s="391" t="str">
        <f>Fluxo_de_Caixa_Janeiro[[#This Row],[Fluxo de Caixa 2026 CTR]]</f>
        <v>5.2.06. AQUISICAO TITULO DE CAPITALIZACAO</v>
      </c>
      <c r="C299" s="369">
        <f>Fluxo_de_Caixa_Janeiro[[#This Row],[Janeiro]]</f>
        <v>664.71</v>
      </c>
      <c r="D299" s="370">
        <f>Fluxo_de_Caixa_Janeiro3[[#This Row],[Fevereiro]]</f>
        <v>664.71</v>
      </c>
      <c r="E299" s="370">
        <f>Fluxo_de_Caixa_Janeiro34[[#This Row],[Março]]</f>
        <v>669.64</v>
      </c>
      <c r="F299" s="374"/>
      <c r="G299" s="374"/>
      <c r="H299" s="374"/>
      <c r="I299" s="372"/>
      <c r="J299" s="374"/>
      <c r="K299" s="374"/>
      <c r="L299" s="374"/>
      <c r="M299" s="374"/>
      <c r="N299" s="376"/>
      <c r="O299" s="235">
        <f>SUM(Fluxo_de_Caixa_Janeiro31020[[#This Row],[Janeiro]:[Dezembro]])</f>
        <v>1999.06</v>
      </c>
      <c r="P299" s="26">
        <f t="shared" si="15"/>
        <v>-5.3915284040952397E-4</v>
      </c>
      <c r="Q299" s="329">
        <v>-6.9231282344947998E-4</v>
      </c>
      <c r="R299" s="32" t="str">
        <f>IF(Fluxo_de_Caixa_Janeiro31020[[#This Row],[% ACUMULADO  1º Trimes 2026]]&lt;=Fluxo_de_Caixa_Janeiro31020[[#This Row],[% ACUMULADO  1º Trimes 2025]],"VERDADEIRO","FALSO")</f>
        <v>FALSO</v>
      </c>
      <c r="V299" s="529">
        <v>1899.83</v>
      </c>
      <c r="W299" s="601">
        <v>-6.9231282344947998E-4</v>
      </c>
    </row>
    <row r="300" spans="2:23" x14ac:dyDescent="0.25">
      <c r="B300" s="391" t="str">
        <f>Fluxo_de_Caixa_Janeiro[[#This Row],[Fluxo de Caixa 2026 CTR]]</f>
        <v>5.2.07. CONSORCIOS</v>
      </c>
      <c r="C300" s="369">
        <f>Fluxo_de_Caixa_Janeiro[[#This Row],[Janeiro]]</f>
        <v>958.51</v>
      </c>
      <c r="D300" s="370">
        <f>Fluxo_de_Caixa_Janeiro3[[#This Row],[Fevereiro]]</f>
        <v>934.26</v>
      </c>
      <c r="E300" s="370">
        <f>Fluxo_de_Caixa_Janeiro34[[#This Row],[Março]]</f>
        <v>981.8</v>
      </c>
      <c r="F300" s="374"/>
      <c r="G300" s="374"/>
      <c r="H300" s="374"/>
      <c r="I300" s="372"/>
      <c r="J300" s="374"/>
      <c r="K300" s="374"/>
      <c r="L300" s="374"/>
      <c r="M300" s="374"/>
      <c r="N300" s="376"/>
      <c r="O300" s="235">
        <f>SUM(Fluxo_de_Caixa_Janeiro31020[[#This Row],[Janeiro]:[Dezembro]])</f>
        <v>2874.5699999999997</v>
      </c>
      <c r="P300" s="26">
        <f t="shared" si="15"/>
        <v>-7.7528067214391034E-4</v>
      </c>
      <c r="Q300" s="329">
        <v>-1.96409231461998E-3</v>
      </c>
      <c r="R300" s="32" t="str">
        <f>IF(Fluxo_de_Caixa_Janeiro31020[[#This Row],[% ACUMULADO  1º Trimes 2026]]&lt;=Fluxo_de_Caixa_Janeiro31020[[#This Row],[% ACUMULADO  1º Trimes 2025]],"VERDADEIRO","FALSO")</f>
        <v>FALSO</v>
      </c>
      <c r="V300" s="529">
        <v>5389.8200000000006</v>
      </c>
      <c r="W300" s="601">
        <v>-1.96409231461998E-3</v>
      </c>
    </row>
    <row r="301" spans="2:23" x14ac:dyDescent="0.25">
      <c r="B301" s="391" t="str">
        <f>Fluxo_de_Caixa_Janeiro[[#This Row],[Fluxo de Caixa 2026 CTR]]</f>
        <v>5.2.08. INVESTIM NOVAS EMPRESAS E FILIAIS</v>
      </c>
      <c r="C301" s="369">
        <f>Fluxo_de_Caixa_Janeiro[[#This Row],[Janeiro]]</f>
        <v>0</v>
      </c>
      <c r="D301" s="370">
        <f>Fluxo_de_Caixa_Janeiro3[[#This Row],[Fevereiro]]</f>
        <v>0</v>
      </c>
      <c r="E301" s="370">
        <f>Fluxo_de_Caixa_Janeiro34[[#This Row],[Março]]</f>
        <v>0</v>
      </c>
      <c r="F301" s="374"/>
      <c r="G301" s="374"/>
      <c r="H301" s="374"/>
      <c r="I301" s="372"/>
      <c r="J301" s="374"/>
      <c r="K301" s="374"/>
      <c r="L301" s="374"/>
      <c r="M301" s="374"/>
      <c r="N301" s="376"/>
      <c r="O301" s="235">
        <f>SUM(Fluxo_de_Caixa_Janeiro31020[[#This Row],[Janeiro]:[Dezembro]])</f>
        <v>0</v>
      </c>
      <c r="P301" s="26">
        <f t="shared" si="15"/>
        <v>0</v>
      </c>
      <c r="Q301" s="329">
        <v>-5.2669783458514384E-2</v>
      </c>
      <c r="R301" s="32" t="str">
        <f>IF(Fluxo_de_Caixa_Janeiro31020[[#This Row],[% ACUMULADO  1º Trimes 2026]]&lt;=Fluxo_de_Caixa_Janeiro31020[[#This Row],[% ACUMULADO  1º Trimes 2025]],"VERDADEIRO","FALSO")</f>
        <v>FALSO</v>
      </c>
      <c r="V301" s="529">
        <v>144535.28999999998</v>
      </c>
      <c r="W301" s="601">
        <v>-5.2669783458514384E-2</v>
      </c>
    </row>
    <row r="302" spans="2:23" x14ac:dyDescent="0.25">
      <c r="B302" s="391" t="str">
        <f>Fluxo_de_Caixa_Janeiro[[#This Row],[Fluxo de Caixa 2026 CTR]]</f>
        <v>5.2.14. FRETE COMPRA ATIVO IMOBILIZADO</v>
      </c>
      <c r="C302" s="369">
        <f>Fluxo_de_Caixa_Janeiro[[#This Row],[Janeiro]]</f>
        <v>0</v>
      </c>
      <c r="D302" s="370">
        <f>Fluxo_de_Caixa_Janeiro3[[#This Row],[Fevereiro]]</f>
        <v>0</v>
      </c>
      <c r="E302" s="370">
        <f>Fluxo_de_Caixa_Janeiro34[[#This Row],[Março]]</f>
        <v>0</v>
      </c>
      <c r="F302" s="375"/>
      <c r="G302" s="375"/>
      <c r="H302" s="375"/>
      <c r="I302" s="373"/>
      <c r="J302" s="375"/>
      <c r="K302" s="375"/>
      <c r="L302" s="375"/>
      <c r="M302" s="375"/>
      <c r="N302" s="377"/>
      <c r="O302" s="235">
        <f>SUM(Fluxo_de_Caixa_Janeiro31020[[#This Row],[Janeiro]:[Dezembro]])</f>
        <v>0</v>
      </c>
      <c r="P302" s="26">
        <f t="shared" si="15"/>
        <v>0</v>
      </c>
      <c r="Q302" s="329">
        <v>0</v>
      </c>
      <c r="R302" s="32" t="str">
        <f>IF(Fluxo_de_Caixa_Janeiro31020[[#This Row],[% ACUMULADO  1º Trimes 2026]]&lt;=Fluxo_de_Caixa_Janeiro31020[[#This Row],[% ACUMULADO  1º Trimes 2025]],"VERDADEIRO","FALSO")</f>
        <v>VERDADEIRO</v>
      </c>
      <c r="T302" s="287">
        <f>O301+O316</f>
        <v>5270</v>
      </c>
      <c r="V302" s="529">
        <v>0</v>
      </c>
      <c r="W302" s="601">
        <v>0</v>
      </c>
    </row>
    <row r="303" spans="2:23" x14ac:dyDescent="0.25">
      <c r="B303" s="391" t="str">
        <f>Fluxo_de_Caixa_Janeiro[[#This Row],[Fluxo de Caixa 2026 CTR]]</f>
        <v>5.2.15. AQUISICAO DE NOVO SOFTWARE INFORMATICA</v>
      </c>
      <c r="C303" s="369">
        <f>Fluxo_de_Caixa_Janeiro[[#This Row],[Janeiro]]</f>
        <v>951</v>
      </c>
      <c r="D303" s="370">
        <f>Fluxo_de_Caixa_Janeiro3[[#This Row],[Fevereiro]]</f>
        <v>0</v>
      </c>
      <c r="E303" s="370">
        <f>Fluxo_de_Caixa_Janeiro34[[#This Row],[Março]]</f>
        <v>0</v>
      </c>
      <c r="F303" s="374"/>
      <c r="G303" s="374"/>
      <c r="H303" s="374"/>
      <c r="I303" s="372"/>
      <c r="J303" s="374"/>
      <c r="K303" s="374"/>
      <c r="L303" s="374"/>
      <c r="M303" s="374"/>
      <c r="N303" s="376"/>
      <c r="O303" s="235">
        <f>SUM(Fluxo_de_Caixa_Janeiro31020[[#This Row],[Janeiro]:[Dezembro]])</f>
        <v>951</v>
      </c>
      <c r="P303" s="26">
        <f t="shared" si="15"/>
        <v>-2.5648772484540604E-4</v>
      </c>
      <c r="Q303" s="329">
        <v>0</v>
      </c>
      <c r="R303" s="32" t="str">
        <f>IF(Fluxo_de_Caixa_Janeiro31020[[#This Row],[% ACUMULADO  1º Trimes 2026]]&lt;=Fluxo_de_Caixa_Janeiro31020[[#This Row],[% ACUMULADO  1º Trimes 2025]],"VERDADEIRO","FALSO")</f>
        <v>VERDADEIRO</v>
      </c>
      <c r="V303" s="529">
        <v>0</v>
      </c>
      <c r="W303" s="601">
        <v>0</v>
      </c>
    </row>
    <row r="304" spans="2:23" x14ac:dyDescent="0.25">
      <c r="B304" s="391" t="str">
        <f>Fluxo_de_Caixa_Janeiro[[#This Row],[Fluxo de Caixa 2026 CTR]]</f>
        <v>5.2.16. PARTICIPACAO SOCIEDADE COOPERATI</v>
      </c>
      <c r="C304" s="369">
        <f>Fluxo_de_Caixa_Janeiro[[#This Row],[Janeiro]]</f>
        <v>0</v>
      </c>
      <c r="D304" s="370">
        <f>Fluxo_de_Caixa_Janeiro3[[#This Row],[Fevereiro]]</f>
        <v>0</v>
      </c>
      <c r="E304" s="370">
        <f>Fluxo_de_Caixa_Janeiro34[[#This Row],[Março]]</f>
        <v>0</v>
      </c>
      <c r="F304" s="374"/>
      <c r="G304" s="374"/>
      <c r="H304" s="374"/>
      <c r="I304" s="372"/>
      <c r="J304" s="374"/>
      <c r="K304" s="374"/>
      <c r="L304" s="374"/>
      <c r="M304" s="374"/>
      <c r="N304" s="376"/>
      <c r="O304" s="235">
        <f>SUM(Fluxo_de_Caixa_Janeiro31020[[#This Row],[Janeiro]:[Dezembro]])</f>
        <v>0</v>
      </c>
      <c r="P304" s="26">
        <f t="shared" si="15"/>
        <v>0</v>
      </c>
      <c r="Q304" s="329">
        <v>-7.2881555028553088E-5</v>
      </c>
      <c r="R304" s="32" t="str">
        <f>IF(Fluxo_de_Caixa_Janeiro31020[[#This Row],[% ACUMULADO  1º Trimes 2026]]&lt;=Fluxo_de_Caixa_Janeiro31020[[#This Row],[% ACUMULADO  1º Trimes 2025]],"VERDADEIRO","FALSO")</f>
        <v>FALSO</v>
      </c>
      <c r="V304" s="529">
        <v>200</v>
      </c>
      <c r="W304" s="601">
        <v>-7.2881555028553088E-5</v>
      </c>
    </row>
    <row r="305" spans="2:23" ht="15.75" thickBot="1" x14ac:dyDescent="0.3">
      <c r="B305" s="391" t="str">
        <f>Fluxo_de_Caixa_Janeiro[[#This Row],[Fluxo de Caixa 2026 CTR]]</f>
        <v>5.2.17. DEVOLUÇÃO DE CAPITAL INVESTIDO</v>
      </c>
      <c r="C305" s="369">
        <f>Fluxo_de_Caixa_Janeiro[[#This Row],[Janeiro]]</f>
        <v>10000</v>
      </c>
      <c r="D305" s="370">
        <f>Fluxo_de_Caixa_Janeiro3[[#This Row],[Fevereiro]]</f>
        <v>5000</v>
      </c>
      <c r="E305" s="370">
        <f>Fluxo_de_Caixa_Janeiro34[[#This Row],[Março]]</f>
        <v>0</v>
      </c>
      <c r="F305" s="374"/>
      <c r="G305" s="374"/>
      <c r="H305" s="374"/>
      <c r="I305" s="372"/>
      <c r="J305" s="374"/>
      <c r="K305" s="374"/>
      <c r="L305" s="374"/>
      <c r="M305" s="374"/>
      <c r="N305" s="376"/>
      <c r="O305" s="235">
        <f>SUM(Fluxo_de_Caixa_Janeiro31020[[#This Row],[Janeiro]:[Dezembro]])</f>
        <v>15000</v>
      </c>
      <c r="P305" s="26">
        <f t="shared" si="15"/>
        <v>-4.0455477104953631E-3</v>
      </c>
      <c r="Q305" s="329">
        <v>-7.2881555028553088E-3</v>
      </c>
      <c r="R305" s="32" t="str">
        <f>IF(Fluxo_de_Caixa_Janeiro31020[[#This Row],[% ACUMULADO  1º Trimes 2026]]&lt;=Fluxo_de_Caixa_Janeiro31020[[#This Row],[% ACUMULADO  1º Trimes 2025]],"VERDADEIRO","FALSO")</f>
        <v>FALSO</v>
      </c>
      <c r="V305" s="529">
        <v>20000</v>
      </c>
      <c r="W305" s="601">
        <v>-7.2881555028553088E-3</v>
      </c>
    </row>
    <row r="306" spans="2:23" hidden="1" x14ac:dyDescent="0.25">
      <c r="B306" s="391">
        <f>Fluxo_de_Caixa_Janeiro[[#This Row],[Fluxo de Caixa 2026 CTR]]</f>
        <v>0</v>
      </c>
      <c r="C306" s="373">
        <f>Fluxo_de_Caixa_Janeiro[[#This Row],[Janeiro]]</f>
        <v>0</v>
      </c>
      <c r="D306" s="375">
        <f>Fluxo_de_Caixa_Janeiro3[[#This Row],[Fevereiro]]</f>
        <v>0</v>
      </c>
      <c r="E306" s="375">
        <f>Fluxo_de_Caixa_Janeiro34[[#This Row],[Março]]</f>
        <v>0</v>
      </c>
      <c r="F306" s="375"/>
      <c r="G306" s="375"/>
      <c r="H306" s="375"/>
      <c r="I306" s="373"/>
      <c r="J306" s="375"/>
      <c r="K306" s="375"/>
      <c r="L306" s="375"/>
      <c r="M306" s="375"/>
      <c r="N306" s="377"/>
      <c r="O306" s="235">
        <f>SUM(Fluxo_de_Caixa_Janeiro31020[[#This Row],[Janeiro]:[Dezembro]])</f>
        <v>0</v>
      </c>
      <c r="P306" s="26">
        <f t="shared" si="15"/>
        <v>0</v>
      </c>
      <c r="Q306" s="329">
        <v>0</v>
      </c>
      <c r="R306" s="32" t="str">
        <f>IF(Fluxo_de_Caixa_Janeiro31020[[#This Row],[% ACUMULADO  1º Trimes 2026]]&lt;=Fluxo_de_Caixa_Janeiro31020[[#This Row],[% ACUMULADO  1º Trimes 2025]],"VERDADEIRO","FALSO")</f>
        <v>VERDADEIRO</v>
      </c>
      <c r="V306" s="529">
        <v>0</v>
      </c>
      <c r="W306" s="601">
        <v>0</v>
      </c>
    </row>
    <row r="307" spans="2:23" hidden="1" x14ac:dyDescent="0.25">
      <c r="B307" s="392">
        <f>Fluxo_de_Caixa_Janeiro[[#This Row],[Fluxo de Caixa 2026 CTR]]</f>
        <v>0</v>
      </c>
      <c r="C307" s="372">
        <f>Fluxo_de_Caixa_Janeiro[[#This Row],[Janeiro]]</f>
        <v>0</v>
      </c>
      <c r="D307" s="374">
        <f>Fluxo_de_Caixa_Janeiro3[[#This Row],[Fevereiro]]</f>
        <v>0</v>
      </c>
      <c r="E307" s="374">
        <f>Fluxo_de_Caixa_Janeiro34[[#This Row],[Março]]</f>
        <v>0</v>
      </c>
      <c r="F307" s="374"/>
      <c r="G307" s="374"/>
      <c r="H307" s="374"/>
      <c r="I307" s="372"/>
      <c r="J307" s="374"/>
      <c r="K307" s="374"/>
      <c r="L307" s="374"/>
      <c r="M307" s="374"/>
      <c r="N307" s="376"/>
      <c r="O307" s="235">
        <f>SUM(Fluxo_de_Caixa_Janeiro31020[[#This Row],[Janeiro]:[Dezembro]])</f>
        <v>0</v>
      </c>
      <c r="P307" s="26">
        <f t="shared" si="15"/>
        <v>0</v>
      </c>
      <c r="Q307" s="329">
        <v>0</v>
      </c>
      <c r="R307" s="32" t="str">
        <f>IF(Fluxo_de_Caixa_Janeiro31020[[#This Row],[% ACUMULADO  1º Trimes 2026]]&lt;=Fluxo_de_Caixa_Janeiro31020[[#This Row],[% ACUMULADO  1º Trimes 2025]],"VERDADEIRO","FALSO")</f>
        <v>VERDADEIRO</v>
      </c>
      <c r="V307" s="529">
        <v>0</v>
      </c>
      <c r="W307" s="601">
        <v>0</v>
      </c>
    </row>
    <row r="308" spans="2:23" hidden="1" x14ac:dyDescent="0.25">
      <c r="B308" s="392">
        <f>Fluxo_de_Caixa_Janeiro[[#This Row],[Fluxo de Caixa 2026 CTR]]</f>
        <v>0</v>
      </c>
      <c r="C308" s="372">
        <f>Fluxo_de_Caixa_Janeiro[[#This Row],[Janeiro]]</f>
        <v>0</v>
      </c>
      <c r="D308" s="374">
        <f>Fluxo_de_Caixa_Janeiro3[[#This Row],[Fevereiro]]</f>
        <v>0</v>
      </c>
      <c r="E308" s="374">
        <f>Fluxo_de_Caixa_Janeiro34[[#This Row],[Março]]</f>
        <v>0</v>
      </c>
      <c r="F308" s="374"/>
      <c r="G308" s="374"/>
      <c r="H308" s="374"/>
      <c r="I308" s="372"/>
      <c r="J308" s="374"/>
      <c r="K308" s="374"/>
      <c r="L308" s="374"/>
      <c r="M308" s="374"/>
      <c r="N308" s="376"/>
      <c r="O308" s="235">
        <f>SUM(Fluxo_de_Caixa_Janeiro31020[[#This Row],[Janeiro]:[Dezembro]])</f>
        <v>0</v>
      </c>
      <c r="P308" s="26">
        <f t="shared" si="15"/>
        <v>0</v>
      </c>
      <c r="Q308" s="329">
        <v>0</v>
      </c>
      <c r="R308" s="32" t="str">
        <f>IF(Fluxo_de_Caixa_Janeiro31020[[#This Row],[% ACUMULADO  1º Trimes 2026]]&lt;=Fluxo_de_Caixa_Janeiro31020[[#This Row],[% ACUMULADO  1º Trimes 2025]],"VERDADEIRO","FALSO")</f>
        <v>VERDADEIRO</v>
      </c>
      <c r="V308" s="529">
        <v>0</v>
      </c>
      <c r="W308" s="601">
        <v>0</v>
      </c>
    </row>
    <row r="309" spans="2:23" hidden="1" x14ac:dyDescent="0.25">
      <c r="B309" s="392">
        <f>Fluxo_de_Caixa_Janeiro[[#This Row],[Fluxo de Caixa 2026 CTR]]</f>
        <v>0</v>
      </c>
      <c r="C309" s="373">
        <f>Fluxo_de_Caixa_Janeiro[[#This Row],[Janeiro]]</f>
        <v>0</v>
      </c>
      <c r="D309" s="375">
        <f>Fluxo_de_Caixa_Janeiro3[[#This Row],[Fevereiro]]</f>
        <v>0</v>
      </c>
      <c r="E309" s="375">
        <f>Fluxo_de_Caixa_Janeiro34[[#This Row],[Março]]</f>
        <v>0</v>
      </c>
      <c r="F309" s="375"/>
      <c r="G309" s="375"/>
      <c r="H309" s="375"/>
      <c r="I309" s="373"/>
      <c r="J309" s="375"/>
      <c r="K309" s="375"/>
      <c r="L309" s="375"/>
      <c r="M309" s="375"/>
      <c r="N309" s="377"/>
      <c r="O309" s="235">
        <f>SUM(Fluxo_de_Caixa_Janeiro31020[[#This Row],[Janeiro]:[Dezembro]])</f>
        <v>0</v>
      </c>
      <c r="P309" s="26">
        <f t="shared" si="15"/>
        <v>0</v>
      </c>
      <c r="Q309" s="329">
        <v>0</v>
      </c>
      <c r="R309" s="32" t="str">
        <f>IF(Fluxo_de_Caixa_Janeiro31020[[#This Row],[% ACUMULADO  1º Trimes 2026]]&lt;=Fluxo_de_Caixa_Janeiro31020[[#This Row],[% ACUMULADO  1º Trimes 2025]],"VERDADEIRO","FALSO")</f>
        <v>VERDADEIRO</v>
      </c>
      <c r="V309" s="529">
        <v>0</v>
      </c>
      <c r="W309" s="601">
        <v>0</v>
      </c>
    </row>
    <row r="310" spans="2:23" hidden="1" x14ac:dyDescent="0.25">
      <c r="B310" s="270">
        <f>Fluxo_de_Caixa_Janeiro[[#This Row],[Fluxo de Caixa 2026 CTR]]</f>
        <v>0</v>
      </c>
      <c r="C310" s="45">
        <f>Fluxo_de_Caixa_Janeiro[[#This Row],[Janeiro]]</f>
        <v>0</v>
      </c>
      <c r="D310" s="80">
        <f>Fluxo_de_Caixa_Janeiro3[[#This Row],[Fevereiro]]</f>
        <v>0</v>
      </c>
      <c r="E310" s="80">
        <f>Fluxo_de_Caixa_Janeiro34[[#This Row],[Março]]</f>
        <v>0</v>
      </c>
      <c r="F310" s="80"/>
      <c r="G310" s="80"/>
      <c r="H310" s="80"/>
      <c r="I310" s="45"/>
      <c r="J310" s="80"/>
      <c r="K310" s="80"/>
      <c r="L310" s="80"/>
      <c r="M310" s="80"/>
      <c r="N310" s="134"/>
      <c r="O310" s="235">
        <f>SUM(Fluxo_de_Caixa_Janeiro31020[[#This Row],[Janeiro]:[Dezembro]])</f>
        <v>0</v>
      </c>
      <c r="P310" s="26">
        <f t="shared" si="15"/>
        <v>0</v>
      </c>
      <c r="Q310" s="329">
        <v>0</v>
      </c>
      <c r="R310" s="32" t="str">
        <f>IF(Fluxo_de_Caixa_Janeiro31020[[#This Row],[% ACUMULADO  1º Trimes 2026]]&lt;=Fluxo_de_Caixa_Janeiro31020[[#This Row],[% ACUMULADO  1º Trimes 2025]],"VERDADEIRO","FALSO")</f>
        <v>VERDADEIRO</v>
      </c>
      <c r="V310" s="529">
        <v>0</v>
      </c>
      <c r="W310" s="601">
        <v>0</v>
      </c>
    </row>
    <row r="311" spans="2:23" hidden="1" x14ac:dyDescent="0.25">
      <c r="B311" s="270">
        <f>Fluxo_de_Caixa_Janeiro[[#This Row],[Fluxo de Caixa 2026 CTR]]</f>
        <v>0</v>
      </c>
      <c r="C311" s="45">
        <f>Fluxo_de_Caixa_Janeiro[[#This Row],[Janeiro]]</f>
        <v>0</v>
      </c>
      <c r="D311" s="80">
        <f>Fluxo_de_Caixa_Janeiro3[[#This Row],[Fevereiro]]</f>
        <v>0</v>
      </c>
      <c r="E311" s="80">
        <f>Fluxo_de_Caixa_Janeiro34[[#This Row],[Março]]</f>
        <v>0</v>
      </c>
      <c r="F311" s="80"/>
      <c r="G311" s="80"/>
      <c r="H311" s="80"/>
      <c r="I311" s="45"/>
      <c r="J311" s="80"/>
      <c r="K311" s="80"/>
      <c r="L311" s="80"/>
      <c r="M311" s="80"/>
      <c r="N311" s="134"/>
      <c r="O311" s="235">
        <f>SUM(Fluxo_de_Caixa_Janeiro31020[[#This Row],[Janeiro]:[Dezembro]])</f>
        <v>0</v>
      </c>
      <c r="P311" s="26">
        <f t="shared" si="15"/>
        <v>0</v>
      </c>
      <c r="Q311" s="329">
        <v>0</v>
      </c>
      <c r="R311" s="32" t="str">
        <f>IF(Fluxo_de_Caixa_Janeiro31020[[#This Row],[% ACUMULADO  1º Trimes 2026]]&lt;=Fluxo_de_Caixa_Janeiro31020[[#This Row],[% ACUMULADO  1º Trimes 2025]],"VERDADEIRO","FALSO")</f>
        <v>VERDADEIRO</v>
      </c>
      <c r="V311" s="529">
        <v>0</v>
      </c>
      <c r="W311" s="601">
        <v>0</v>
      </c>
    </row>
    <row r="312" spans="2:23" hidden="1" x14ac:dyDescent="0.25">
      <c r="B312" s="270">
        <f>Fluxo_de_Caixa_Janeiro[[#This Row],[Fluxo de Caixa 2026 CTR]]</f>
        <v>0</v>
      </c>
      <c r="C312" s="45">
        <f>Fluxo_de_Caixa_Janeiro[[#This Row],[Janeiro]]</f>
        <v>0</v>
      </c>
      <c r="D312" s="80">
        <f>Fluxo_de_Caixa_Janeiro3[[#This Row],[Fevereiro]]</f>
        <v>0</v>
      </c>
      <c r="E312" s="80">
        <f>Fluxo_de_Caixa_Janeiro34[[#This Row],[Março]]</f>
        <v>0</v>
      </c>
      <c r="F312" s="80"/>
      <c r="G312" s="80"/>
      <c r="H312" s="80"/>
      <c r="I312" s="45"/>
      <c r="J312" s="80"/>
      <c r="K312" s="80"/>
      <c r="L312" s="80"/>
      <c r="M312" s="80"/>
      <c r="N312" s="134"/>
      <c r="O312" s="235">
        <f>SUM(Fluxo_de_Caixa_Janeiro31020[[#This Row],[Janeiro]:[Dezembro]])</f>
        <v>0</v>
      </c>
      <c r="P312" s="26">
        <f t="shared" si="15"/>
        <v>0</v>
      </c>
      <c r="Q312" s="329">
        <v>0</v>
      </c>
      <c r="R312" s="32" t="str">
        <f>IF(Fluxo_de_Caixa_Janeiro31020[[#This Row],[% ACUMULADO  1º Trimes 2026]]&lt;=Fluxo_de_Caixa_Janeiro31020[[#This Row],[% ACUMULADO  1º Trimes 2025]],"VERDADEIRO","FALSO")</f>
        <v>VERDADEIRO</v>
      </c>
      <c r="V312" s="529">
        <v>0</v>
      </c>
      <c r="W312" s="601">
        <v>0</v>
      </c>
    </row>
    <row r="313" spans="2:23" hidden="1" x14ac:dyDescent="0.25">
      <c r="B313" s="270">
        <f>Fluxo_de_Caixa_Janeiro[[#This Row],[Fluxo de Caixa 2026 CTR]]</f>
        <v>0</v>
      </c>
      <c r="C313" s="45">
        <f>Fluxo_de_Caixa_Janeiro[[#This Row],[Janeiro]]</f>
        <v>0</v>
      </c>
      <c r="D313" s="80">
        <f>Fluxo_de_Caixa_Janeiro3[[#This Row],[Fevereiro]]</f>
        <v>0</v>
      </c>
      <c r="E313" s="80">
        <f>Fluxo_de_Caixa_Janeiro34[[#This Row],[Março]]</f>
        <v>0</v>
      </c>
      <c r="F313" s="80"/>
      <c r="G313" s="80"/>
      <c r="H313" s="80"/>
      <c r="I313" s="45"/>
      <c r="J313" s="80"/>
      <c r="K313" s="80"/>
      <c r="L313" s="80"/>
      <c r="M313" s="80"/>
      <c r="N313" s="134"/>
      <c r="O313" s="235">
        <f>SUM(Fluxo_de_Caixa_Janeiro31020[[#This Row],[Janeiro]:[Dezembro]])</f>
        <v>0</v>
      </c>
      <c r="P313" s="26">
        <f t="shared" si="15"/>
        <v>0</v>
      </c>
      <c r="Q313" s="329">
        <v>0</v>
      </c>
      <c r="R313" s="32" t="str">
        <f>IF(Fluxo_de_Caixa_Janeiro31020[[#This Row],[% ACUMULADO  1º Trimes 2026]]&lt;=Fluxo_de_Caixa_Janeiro31020[[#This Row],[% ACUMULADO  1º Trimes 2025]],"VERDADEIRO","FALSO")</f>
        <v>VERDADEIRO</v>
      </c>
      <c r="V313" s="529">
        <v>0</v>
      </c>
      <c r="W313" s="601">
        <v>0</v>
      </c>
    </row>
    <row r="314" spans="2:23" ht="15.75" hidden="1" thickBot="1" x14ac:dyDescent="0.3">
      <c r="B314" s="280">
        <f>Fluxo_de_Caixa_Janeiro[[#This Row],[Fluxo de Caixa 2026 CTR]]</f>
        <v>0</v>
      </c>
      <c r="C314" s="163">
        <f>Fluxo_de_Caixa_Janeiro[[#This Row],[Janeiro]]</f>
        <v>0</v>
      </c>
      <c r="D314" s="106">
        <f>Fluxo_de_Caixa_Janeiro3[[#This Row],[Fevereiro]]</f>
        <v>0</v>
      </c>
      <c r="E314" s="106">
        <f>Fluxo_de_Caixa_Janeiro34[[#This Row],[Março]]</f>
        <v>0</v>
      </c>
      <c r="F314" s="106"/>
      <c r="G314" s="106"/>
      <c r="H314" s="106"/>
      <c r="I314" s="163"/>
      <c r="J314" s="106"/>
      <c r="K314" s="106"/>
      <c r="L314" s="106"/>
      <c r="M314" s="106"/>
      <c r="N314" s="135"/>
      <c r="O314" s="236">
        <f>SUM(Fluxo_de_Caixa_Janeiro31020[[#This Row],[Janeiro]:[Dezembro]])</f>
        <v>0</v>
      </c>
      <c r="P314" s="26">
        <f t="shared" si="15"/>
        <v>0</v>
      </c>
      <c r="Q314" s="558">
        <v>0</v>
      </c>
      <c r="R314" s="32" t="str">
        <f>IF(Fluxo_de_Caixa_Janeiro31020[[#This Row],[% ACUMULADO  1º Trimes 2026]]&lt;=Fluxo_de_Caixa_Janeiro31020[[#This Row],[% ACUMULADO  1º Trimes 2025]],"VERDADEIRO","FALSO")</f>
        <v>VERDADEIRO</v>
      </c>
      <c r="V314" s="530">
        <v>0</v>
      </c>
      <c r="W314" s="601">
        <v>0</v>
      </c>
    </row>
    <row r="315" spans="2:23" ht="19.5" thickBot="1" x14ac:dyDescent="0.35">
      <c r="B315" s="168" t="str">
        <f>Fluxo_de_Caixa_Janeiro[[#This Row],[Fluxo de Caixa 2026 CTR]]</f>
        <v>5.3. INVESTIMENTO EM IMOBILIZADOS</v>
      </c>
      <c r="C315" s="158">
        <f>Fluxo_de_Caixa_Janeiro[[#This Row],[Janeiro]]</f>
        <v>0</v>
      </c>
      <c r="D315" s="97">
        <f>Fluxo_de_Caixa_Janeiro3[[#This Row],[Fevereiro]]</f>
        <v>-1450</v>
      </c>
      <c r="E315" s="97">
        <f>Fluxo_de_Caixa_Janeiro34[[#This Row],[Março]]</f>
        <v>-11750.66</v>
      </c>
      <c r="F315" s="97"/>
      <c r="G315" s="97"/>
      <c r="H315" s="97"/>
      <c r="I315" s="158"/>
      <c r="J315" s="97"/>
      <c r="K315" s="97"/>
      <c r="L315" s="97"/>
      <c r="M315" s="97"/>
      <c r="N315" s="129"/>
      <c r="O315" s="226">
        <f>SUM(Fluxo_de_Caixa_Janeiro31020[[#This Row],[Janeiro]:[Dezembro]])</f>
        <v>-13200.66</v>
      </c>
      <c r="P315" s="144">
        <f t="shared" ref="P315:P325" si="16">-IFERROR(O315/$O$332,"0,00")</f>
        <v>3.5602599893351811E-3</v>
      </c>
      <c r="Q315" s="549">
        <v>1.4201543117520546E-2</v>
      </c>
      <c r="R315" s="32" t="str">
        <f>IF(Fluxo_de_Caixa_Janeiro31020[[#This Row],[% ACUMULADO  1º Trimes 2026]]&lt;=Fluxo_de_Caixa_Janeiro31020[[#This Row],[% ACUMULADO  1º Trimes 2025]],"VERDADEIRO","FALSO")</f>
        <v>VERDADEIRO</v>
      </c>
      <c r="V315" s="518">
        <v>-38971.570000000007</v>
      </c>
      <c r="W315" s="592">
        <v>1.4201543117520546E-2</v>
      </c>
    </row>
    <row r="316" spans="2:23" ht="15" customHeight="1" x14ac:dyDescent="0.25">
      <c r="B316" s="279" t="str">
        <f>Fluxo_de_Caixa_Janeiro[[#This Row],[Fluxo de Caixa 2026 CTR]]</f>
        <v>5.3.01.MOVEIS E UTENSI. IMOBILIZADOS</v>
      </c>
      <c r="C316" s="369">
        <f>Fluxo_de_Caixa_Janeiro[[#This Row],[Janeiro]]</f>
        <v>0</v>
      </c>
      <c r="D316" s="370">
        <f>Fluxo_de_Caixa_Janeiro3[[#This Row],[Fevereiro]]</f>
        <v>0</v>
      </c>
      <c r="E316" s="370">
        <f>Fluxo_de_Caixa_Janeiro34[[#This Row],[Março]]</f>
        <v>5270</v>
      </c>
      <c r="F316" s="104"/>
      <c r="G316" s="104"/>
      <c r="H316" s="104"/>
      <c r="I316" s="162"/>
      <c r="J316" s="104"/>
      <c r="K316" s="104"/>
      <c r="L316" s="104"/>
      <c r="M316" s="104"/>
      <c r="N316" s="133"/>
      <c r="O316" s="234">
        <f>SUM(Fluxo_de_Caixa_Janeiro31020[[#This Row],[Janeiro]:[Dezembro]])</f>
        <v>5270</v>
      </c>
      <c r="P316" s="147">
        <f t="shared" si="16"/>
        <v>-1.4213357622873709E-3</v>
      </c>
      <c r="Q316" s="557">
        <v>-1.3515888024122919E-2</v>
      </c>
      <c r="R316" s="32" t="str">
        <f>IF(Fluxo_de_Caixa_Janeiro31020[[#This Row],[% ACUMULADO  1º Trimes 2026]]&lt;=Fluxo_de_Caixa_Janeiro31020[[#This Row],[% ACUMULADO  1º Trimes 2025]],"VERDADEIRO","FALSO")</f>
        <v>FALSO</v>
      </c>
      <c r="V316" s="528">
        <v>37090.009999999995</v>
      </c>
      <c r="W316" s="600">
        <v>-1.3515888024122919E-2</v>
      </c>
    </row>
    <row r="317" spans="2:23" ht="15" customHeight="1" x14ac:dyDescent="0.25">
      <c r="B317" s="391" t="str">
        <f>Fluxo_de_Caixa_Janeiro[[#This Row],[Fluxo de Caixa 2026 CTR]]</f>
        <v>5.3.02.MAQUINAS E EQUIPAM. IMOBILIZADOS</v>
      </c>
      <c r="C317" s="369">
        <f>Fluxo_de_Caixa_Janeiro[[#This Row],[Janeiro]]</f>
        <v>0</v>
      </c>
      <c r="D317" s="370">
        <f>Fluxo_de_Caixa_Janeiro3[[#This Row],[Fevereiro]]</f>
        <v>1450</v>
      </c>
      <c r="E317" s="370">
        <f>Fluxo_de_Caixa_Janeiro34[[#This Row],[Março]]</f>
        <v>6480.66</v>
      </c>
      <c r="F317" s="374"/>
      <c r="G317" s="374"/>
      <c r="H317" s="374"/>
      <c r="I317" s="372"/>
      <c r="J317" s="374"/>
      <c r="K317" s="374"/>
      <c r="L317" s="374"/>
      <c r="M317" s="374"/>
      <c r="N317" s="376"/>
      <c r="O317" s="234">
        <f>SUM(Fluxo_de_Caixa_Janeiro31020[[#This Row],[Janeiro]:[Dezembro]])</f>
        <v>7930.66</v>
      </c>
      <c r="P317" s="147">
        <f t="shared" si="16"/>
        <v>-2.1389242270478102E-3</v>
      </c>
      <c r="Q317" s="557">
        <v>-3.6440777514276544E-5</v>
      </c>
      <c r="R317" s="32" t="str">
        <f>IF(Fluxo_de_Caixa_Janeiro31020[[#This Row],[% ACUMULADO  1º Trimes 2026]]&lt;=Fluxo_de_Caixa_Janeiro31020[[#This Row],[% ACUMULADO  1º Trimes 2025]],"VERDADEIRO","FALSO")</f>
        <v>VERDADEIRO</v>
      </c>
      <c r="V317" s="528">
        <v>100</v>
      </c>
      <c r="W317" s="600">
        <v>-3.6440777514276544E-5</v>
      </c>
    </row>
    <row r="318" spans="2:23" ht="15" customHeight="1" x14ac:dyDescent="0.25">
      <c r="B318" s="391" t="str">
        <f>Fluxo_de_Caixa_Janeiro[[#This Row],[Fluxo de Caixa 2026 CTR]]</f>
        <v>5.3.03.EQUIP. INFORMATICA IMOBILIZADOS</v>
      </c>
      <c r="C318" s="369">
        <f>Fluxo_de_Caixa_Janeiro[[#This Row],[Janeiro]]</f>
        <v>0</v>
      </c>
      <c r="D318" s="370">
        <f>Fluxo_de_Caixa_Janeiro3[[#This Row],[Fevereiro]]</f>
        <v>0</v>
      </c>
      <c r="E318" s="370">
        <f>Fluxo_de_Caixa_Janeiro34[[#This Row],[Março]]</f>
        <v>0</v>
      </c>
      <c r="F318" s="381"/>
      <c r="G318" s="381"/>
      <c r="H318" s="381"/>
      <c r="I318" s="379"/>
      <c r="J318" s="381"/>
      <c r="K318" s="381"/>
      <c r="L318" s="381"/>
      <c r="M318" s="381"/>
      <c r="N318" s="383"/>
      <c r="O318" s="234">
        <f>SUM(Fluxo_de_Caixa_Janeiro31020[[#This Row],[Janeiro]:[Dezembro]])</f>
        <v>0</v>
      </c>
      <c r="P318" s="147">
        <f t="shared" si="16"/>
        <v>0</v>
      </c>
      <c r="Q318" s="557">
        <v>-1.3357731405633209E-4</v>
      </c>
      <c r="R318" s="32" t="str">
        <f>IF(Fluxo_de_Caixa_Janeiro31020[[#This Row],[% ACUMULADO  1º Trimes 2026]]&lt;=Fluxo_de_Caixa_Janeiro31020[[#This Row],[% ACUMULADO  1º Trimes 2025]],"VERDADEIRO","FALSO")</f>
        <v>FALSO</v>
      </c>
      <c r="V318" s="528">
        <v>366.56</v>
      </c>
      <c r="W318" s="600">
        <v>-1.3357731405633209E-4</v>
      </c>
    </row>
    <row r="319" spans="2:23" ht="15" customHeight="1" x14ac:dyDescent="0.25">
      <c r="B319" s="391" t="str">
        <f>Fluxo_de_Caixa_Janeiro[[#This Row],[Fluxo de Caixa 2026 CTR]]</f>
        <v>5.3.05.AQUISICAO DE VEICU PESADO-IMOB</v>
      </c>
      <c r="C319" s="369">
        <f>Fluxo_de_Caixa_Janeiro[[#This Row],[Janeiro]]</f>
        <v>0</v>
      </c>
      <c r="D319" s="370">
        <f>Fluxo_de_Caixa_Janeiro3[[#This Row],[Fevereiro]]</f>
        <v>0</v>
      </c>
      <c r="E319" s="370">
        <f>Fluxo_de_Caixa_Janeiro34[[#This Row],[Março]]</f>
        <v>0</v>
      </c>
      <c r="F319" s="381"/>
      <c r="G319" s="381"/>
      <c r="H319" s="381"/>
      <c r="I319" s="379"/>
      <c r="J319" s="381"/>
      <c r="K319" s="381"/>
      <c r="L319" s="381"/>
      <c r="M319" s="381"/>
      <c r="N319" s="383"/>
      <c r="O319" s="234">
        <f>SUM(Fluxo_de_Caixa_Janeiro31020[[#This Row],[Janeiro]:[Dezembro]])</f>
        <v>0</v>
      </c>
      <c r="P319" s="147">
        <f t="shared" si="16"/>
        <v>0</v>
      </c>
      <c r="Q319" s="557">
        <v>0</v>
      </c>
      <c r="R319" s="32" t="str">
        <f>IF(Fluxo_de_Caixa_Janeiro31020[[#This Row],[% ACUMULADO  1º Trimes 2026]]&lt;=Fluxo_de_Caixa_Janeiro31020[[#This Row],[% ACUMULADO  1º Trimes 2025]],"VERDADEIRO","FALSO")</f>
        <v>VERDADEIRO</v>
      </c>
      <c r="V319" s="528">
        <v>0</v>
      </c>
      <c r="W319" s="600">
        <v>0</v>
      </c>
    </row>
    <row r="320" spans="2:23" ht="15" customHeight="1" thickBot="1" x14ac:dyDescent="0.3">
      <c r="B320" s="391" t="str">
        <f>Fluxo_de_Caixa_Janeiro[[#This Row],[Fluxo de Caixa 2026 CTR]]</f>
        <v>5.3.06.AQUISICAO DE OUTROS VEICUL-IMOB</v>
      </c>
      <c r="C320" s="369">
        <f>Fluxo_de_Caixa_Janeiro[[#This Row],[Janeiro]]</f>
        <v>0</v>
      </c>
      <c r="D320" s="370">
        <f>Fluxo_de_Caixa_Janeiro3[[#This Row],[Fevereiro]]</f>
        <v>0</v>
      </c>
      <c r="E320" s="370">
        <f>Fluxo_de_Caixa_Janeiro34[[#This Row],[Março]]</f>
        <v>0</v>
      </c>
      <c r="F320" s="381"/>
      <c r="G320" s="381"/>
      <c r="H320" s="381"/>
      <c r="I320" s="379"/>
      <c r="J320" s="381"/>
      <c r="K320" s="381"/>
      <c r="L320" s="381"/>
      <c r="M320" s="381"/>
      <c r="N320" s="383"/>
      <c r="O320" s="234">
        <f>SUM(Fluxo_de_Caixa_Janeiro31020[[#This Row],[Janeiro]:[Dezembro]])</f>
        <v>0</v>
      </c>
      <c r="P320" s="147">
        <f t="shared" si="16"/>
        <v>0</v>
      </c>
      <c r="Q320" s="557">
        <v>-5.1563700182701304E-4</v>
      </c>
      <c r="R320" s="32" t="str">
        <f>IF(Fluxo_de_Caixa_Janeiro31020[[#This Row],[% ACUMULADO  1º Trimes 2026]]&lt;=Fluxo_de_Caixa_Janeiro31020[[#This Row],[% ACUMULADO  1º Trimes 2025]],"VERDADEIRO","FALSO")</f>
        <v>FALSO</v>
      </c>
      <c r="V320" s="528">
        <v>1415</v>
      </c>
      <c r="W320" s="600">
        <v>-5.1563700182701304E-4</v>
      </c>
    </row>
    <row r="321" spans="2:221" ht="15" hidden="1" customHeight="1" thickBot="1" x14ac:dyDescent="0.3">
      <c r="B321" s="391">
        <f>Fluxo_de_Caixa_Janeiro[[#This Row],[Fluxo de Caixa 2026 CTR]]</f>
        <v>0</v>
      </c>
      <c r="C321" s="379">
        <f>Fluxo_de_Caixa_Janeiro[[#This Row],[Janeiro]]</f>
        <v>0</v>
      </c>
      <c r="D321" s="381">
        <f>Fluxo_de_Caixa_Janeiro3[[#This Row],[Fevereiro]]</f>
        <v>0</v>
      </c>
      <c r="E321" s="381">
        <f>Fluxo_de_Caixa_Janeiro34[[#This Row],[Março]]</f>
        <v>0</v>
      </c>
      <c r="F321" s="381"/>
      <c r="G321" s="381"/>
      <c r="H321" s="381"/>
      <c r="I321" s="379"/>
      <c r="J321" s="381"/>
      <c r="K321" s="381"/>
      <c r="L321" s="381"/>
      <c r="M321" s="381"/>
      <c r="N321" s="383"/>
      <c r="O321" s="234">
        <f>SUM(Fluxo_de_Caixa_Janeiro31020[[#This Row],[Janeiro]:[Dezembro]])</f>
        <v>0</v>
      </c>
      <c r="P321" s="147">
        <f t="shared" si="16"/>
        <v>0</v>
      </c>
      <c r="Q321" s="557">
        <v>0</v>
      </c>
      <c r="R321" s="32" t="str">
        <f>IF(Fluxo_de_Caixa_Janeiro31020[[#This Row],[% ACUMULADO  1º Trimes 2026]]&lt;=Fluxo_de_Caixa_Janeiro31020[[#This Row],[% ACUMULADO  1º Trimes 2025]],"VERDADEIRO","FALSO")</f>
        <v>VERDADEIRO</v>
      </c>
      <c r="V321" s="528">
        <v>0</v>
      </c>
      <c r="W321" s="600">
        <v>0</v>
      </c>
    </row>
    <row r="322" spans="2:221" ht="19.5" thickBot="1" x14ac:dyDescent="0.35">
      <c r="B322" s="168" t="str">
        <f>Fluxo_de_Caixa_Janeiro[[#This Row],[Fluxo de Caixa 2026 CTR]]</f>
        <v>5.4. DISTRIBUIÇÃO DE LUCROS E RESULTADOS</v>
      </c>
      <c r="C322" s="158">
        <f>Fluxo_de_Caixa_Janeiro[[#This Row],[Janeiro]]</f>
        <v>-1415.37</v>
      </c>
      <c r="D322" s="97">
        <f>Fluxo_de_Caixa_Janeiro3[[#This Row],[Fevereiro]]</f>
        <v>-8004.07</v>
      </c>
      <c r="E322" s="97">
        <f>Fluxo_de_Caixa_Janeiro34[[#This Row],[Março]]</f>
        <v>-2462.88</v>
      </c>
      <c r="F322" s="97"/>
      <c r="G322" s="97"/>
      <c r="H322" s="97"/>
      <c r="I322" s="158"/>
      <c r="J322" s="97"/>
      <c r="K322" s="97"/>
      <c r="L322" s="97"/>
      <c r="M322" s="97"/>
      <c r="N322" s="129"/>
      <c r="O322" s="226">
        <f>SUM(Fluxo_de_Caixa_Janeiro31020[[#This Row],[Janeiro]:[Dezembro]])</f>
        <v>-11882.32</v>
      </c>
      <c r="P322" s="144">
        <f t="shared" si="16"/>
        <v>3.2046994980915507E-3</v>
      </c>
      <c r="Q322" s="549">
        <v>1.9531127083549282E-3</v>
      </c>
      <c r="R322" s="32" t="str">
        <f>IF(Fluxo_de_Caixa_Janeiro31020[[#This Row],[% ACUMULADO  1º Trimes 2026]]&lt;=Fluxo_de_Caixa_Janeiro31020[[#This Row],[% ACUMULADO  1º Trimes 2025]],"VERDADEIRO","FALSO")</f>
        <v>FALSO</v>
      </c>
      <c r="V322" s="518">
        <v>-5359.69</v>
      </c>
      <c r="W322" s="592">
        <v>1.9531127083549282E-3</v>
      </c>
    </row>
    <row r="323" spans="2:221" ht="15" customHeight="1" x14ac:dyDescent="0.25">
      <c r="B323" s="391" t="str">
        <f>Fluxo_de_Caixa_Janeiro[[#This Row],[Fluxo de Caixa 2026 CTR]]</f>
        <v>5.4.01.DISTRIBUICAO DE LUCROS SOCIOS</v>
      </c>
      <c r="C323" s="369">
        <f>Fluxo_de_Caixa_Janeiro[[#This Row],[Janeiro]]</f>
        <v>0</v>
      </c>
      <c r="D323" s="370">
        <f>Fluxo_de_Caixa_Janeiro3[[#This Row],[Fevereiro]]</f>
        <v>0</v>
      </c>
      <c r="E323" s="370">
        <f>Fluxo_de_Caixa_Janeiro34[[#This Row],[Março]]</f>
        <v>0</v>
      </c>
      <c r="F323" s="382"/>
      <c r="G323" s="382"/>
      <c r="H323" s="382"/>
      <c r="I323" s="380"/>
      <c r="J323" s="382"/>
      <c r="K323" s="382"/>
      <c r="L323" s="382"/>
      <c r="M323" s="382"/>
      <c r="N323" s="384"/>
      <c r="O323" s="235">
        <f>SUM(Fluxo_de_Caixa_Janeiro31020[[#This Row],[Janeiro]:[Dezembro]])</f>
        <v>0</v>
      </c>
      <c r="P323" s="26">
        <f t="shared" si="16"/>
        <v>0</v>
      </c>
      <c r="Q323" s="329">
        <v>0</v>
      </c>
      <c r="R323" s="32" t="str">
        <f>IF(Fluxo_de_Caixa_Janeiro31020[[#This Row],[% ACUMULADO  1º Trimes 2026]]&lt;=Fluxo_de_Caixa_Janeiro31020[[#This Row],[% ACUMULADO  1º Trimes 2025]],"VERDADEIRO","FALSO")</f>
        <v>VERDADEIRO</v>
      </c>
      <c r="V323" s="529">
        <v>0</v>
      </c>
      <c r="W323" s="601">
        <v>0</v>
      </c>
    </row>
    <row r="324" spans="2:221" ht="15" customHeight="1" x14ac:dyDescent="0.25">
      <c r="B324" s="270" t="str">
        <f>Fluxo_de_Caixa_Janeiro[[#This Row],[Fluxo de Caixa 2026 CTR]]</f>
        <v>5.4.02.COMBUST E LUBRIFICANT - DIRETORIA</v>
      </c>
      <c r="C324" s="369">
        <f>Fluxo_de_Caixa_Janeiro[[#This Row],[Janeiro]]</f>
        <v>0</v>
      </c>
      <c r="D324" s="370">
        <f>Fluxo_de_Caixa_Janeiro3[[#This Row],[Fevereiro]]</f>
        <v>0</v>
      </c>
      <c r="E324" s="370">
        <f>Fluxo_de_Caixa_Janeiro34[[#This Row],[Março]]</f>
        <v>0</v>
      </c>
      <c r="F324" s="80"/>
      <c r="G324" s="80"/>
      <c r="H324" s="80"/>
      <c r="I324" s="45"/>
      <c r="J324" s="80"/>
      <c r="K324" s="80"/>
      <c r="L324" s="80"/>
      <c r="M324" s="80"/>
      <c r="N324" s="134"/>
      <c r="O324" s="235">
        <f>SUM(Fluxo_de_Caixa_Janeiro31020[[#This Row],[Janeiro]:[Dezembro]])</f>
        <v>0</v>
      </c>
      <c r="P324" s="26">
        <f t="shared" si="16"/>
        <v>0</v>
      </c>
      <c r="Q324" s="329">
        <v>0</v>
      </c>
      <c r="R324" s="32" t="str">
        <f>IF(Fluxo_de_Caixa_Janeiro31020[[#This Row],[% ACUMULADO  1º Trimes 2026]]&lt;=Fluxo_de_Caixa_Janeiro31020[[#This Row],[% ACUMULADO  1º Trimes 2025]],"VERDADEIRO","FALSO")</f>
        <v>VERDADEIRO</v>
      </c>
      <c r="V324" s="529">
        <v>0</v>
      </c>
      <c r="W324" s="601">
        <v>0</v>
      </c>
    </row>
    <row r="325" spans="2:221" ht="15" customHeight="1" x14ac:dyDescent="0.25">
      <c r="B325" s="270" t="str">
        <f>Fluxo_de_Caixa_Janeiro[[#This Row],[Fluxo de Caixa 2026 CTR]]</f>
        <v>5.4.03.VIAGENS E ESTADAS - DIRETORIA</v>
      </c>
      <c r="C325" s="369">
        <f>Fluxo_de_Caixa_Janeiro[[#This Row],[Janeiro]]</f>
        <v>0</v>
      </c>
      <c r="D325" s="370">
        <f>Fluxo_de_Caixa_Janeiro3[[#This Row],[Fevereiro]]</f>
        <v>0</v>
      </c>
      <c r="E325" s="381">
        <f>Fluxo_de_Caixa_Janeiro34[[#This Row],[Março]]</f>
        <v>2462.88</v>
      </c>
      <c r="F325" s="80"/>
      <c r="G325" s="80"/>
      <c r="H325" s="80"/>
      <c r="I325" s="45"/>
      <c r="J325" s="80"/>
      <c r="K325" s="80"/>
      <c r="L325" s="80"/>
      <c r="M325" s="80"/>
      <c r="N325" s="134"/>
      <c r="O325" s="235">
        <f>SUM(Fluxo_de_Caixa_Janeiro31020[[#This Row],[Janeiro]:[Dezembro]])</f>
        <v>2462.88</v>
      </c>
      <c r="P325" s="26">
        <f t="shared" si="16"/>
        <v>-6.6424656968165467E-4</v>
      </c>
      <c r="Q325" s="329">
        <v>-1.9531127083549282E-3</v>
      </c>
      <c r="R325" s="32" t="str">
        <f>IF(Fluxo_de_Caixa_Janeiro31020[[#This Row],[% ACUMULADO  1º Trimes 2026]]&lt;=Fluxo_de_Caixa_Janeiro31020[[#This Row],[% ACUMULADO  1º Trimes 2025]],"VERDADEIRO","FALSO")</f>
        <v>FALSO</v>
      </c>
      <c r="V325" s="529">
        <v>5359.69</v>
      </c>
      <c r="W325" s="601">
        <v>-1.9531127083549282E-3</v>
      </c>
    </row>
    <row r="326" spans="2:221" ht="15" customHeight="1" thickBot="1" x14ac:dyDescent="0.3">
      <c r="B326" s="270" t="str">
        <f>Fluxo_de_Caixa_Janeiro[[#This Row],[Fluxo de Caixa 2026 CTR]]</f>
        <v>5.4.04.DISTRIBUIÇÃO DE LUCROS E RESULTADOS</v>
      </c>
      <c r="C326" s="369">
        <f>Fluxo_de_Caixa_Janeiro[[#This Row],[Janeiro]]</f>
        <v>1415.37</v>
      </c>
      <c r="D326" s="370">
        <f>Fluxo_de_Caixa_Janeiro3[[#This Row],[Fevereiro]]</f>
        <v>8004.07</v>
      </c>
      <c r="E326" s="370">
        <f>Fluxo_de_Caixa_Janeiro34[[#This Row],[Março]]</f>
        <v>0</v>
      </c>
      <c r="F326" s="80"/>
      <c r="G326" s="80"/>
      <c r="H326" s="80"/>
      <c r="I326" s="45"/>
      <c r="J326" s="80"/>
      <c r="K326" s="80"/>
      <c r="L326" s="80"/>
      <c r="M326" s="80"/>
      <c r="N326" s="134"/>
      <c r="O326" s="235">
        <f>SUM(Fluxo_de_Caixa_Janeiro31020[[#This Row],[Janeiro]:[Dezembro]])</f>
        <v>9419.4399999999987</v>
      </c>
      <c r="P326" s="26">
        <f>IFERROR(O326/$C$332,"0,00%")</f>
        <v>1.254361712921297E-2</v>
      </c>
      <c r="Q326" s="329">
        <v>0</v>
      </c>
      <c r="R326" s="32" t="str">
        <f>IF(Fluxo_de_Caixa_Janeiro31020[[#This Row],[% ACUMULADO  1º Trimes 2026]]&lt;=Fluxo_de_Caixa_Janeiro31020[[#This Row],[% ACUMULADO  1º Trimes 2025]],"VERDADEIRO","FALSO")</f>
        <v>FALSO</v>
      </c>
      <c r="V326" s="529">
        <v>0</v>
      </c>
      <c r="W326" s="601">
        <v>0</v>
      </c>
    </row>
    <row r="327" spans="2:221" ht="15" hidden="1" customHeight="1" x14ac:dyDescent="0.25">
      <c r="B327" s="270">
        <f>Fluxo_de_Caixa_Janeiro[[#This Row],[Fluxo de Caixa 2026 CTR]]</f>
        <v>0</v>
      </c>
      <c r="C327" s="45">
        <f>Fluxo_de_Caixa_Janeiro[[#This Row],[Janeiro]]</f>
        <v>0</v>
      </c>
      <c r="D327" s="80">
        <f>Fluxo_de_Caixa_Janeiro3[[#This Row],[Fevereiro]]</f>
        <v>0</v>
      </c>
      <c r="E327" s="80">
        <f>Fluxo_de_Caixa_Janeiro34[[#This Row],[Março]]</f>
        <v>0</v>
      </c>
      <c r="F327" s="80"/>
      <c r="G327" s="80"/>
      <c r="H327" s="80"/>
      <c r="I327" s="45"/>
      <c r="J327" s="80"/>
      <c r="K327" s="80"/>
      <c r="L327" s="80"/>
      <c r="M327" s="80"/>
      <c r="N327" s="134"/>
      <c r="O327" s="235">
        <f>SUM(Fluxo_de_Caixa_Janeiro31020[[#This Row],[Janeiro]:[Dezembro]])</f>
        <v>0</v>
      </c>
      <c r="P327" s="26">
        <f>IFERROR(O327/$C$332,"0,00%")</f>
        <v>0</v>
      </c>
      <c r="Q327" s="329">
        <v>0</v>
      </c>
      <c r="R327" s="32" t="str">
        <f>IF(Fluxo_de_Caixa_Janeiro31020[[#This Row],[% ACUMULADO  1º Trimes 2026]]&lt;=Fluxo_de_Caixa_Janeiro31020[[#This Row],[% ACUMULADO  1º Trimes 2025]],"VERDADEIRO","FALSO")</f>
        <v>VERDADEIRO</v>
      </c>
      <c r="V327" s="529">
        <v>0</v>
      </c>
      <c r="W327" s="601">
        <v>0</v>
      </c>
    </row>
    <row r="328" spans="2:221" ht="15" hidden="1" customHeight="1" x14ac:dyDescent="0.25">
      <c r="B328" s="270">
        <f>Fluxo_de_Caixa_Janeiro[[#This Row],[Fluxo de Caixa 2026 CTR]]</f>
        <v>0</v>
      </c>
      <c r="C328" s="45">
        <f>Fluxo_de_Caixa_Janeiro[[#This Row],[Janeiro]]</f>
        <v>0</v>
      </c>
      <c r="D328" s="80">
        <f>Fluxo_de_Caixa_Janeiro3[[#This Row],[Fevereiro]]</f>
        <v>0</v>
      </c>
      <c r="E328" s="80">
        <f>Fluxo_de_Caixa_Janeiro34[[#This Row],[Março]]</f>
        <v>0</v>
      </c>
      <c r="F328" s="80"/>
      <c r="G328" s="80"/>
      <c r="H328" s="80"/>
      <c r="I328" s="45"/>
      <c r="J328" s="80"/>
      <c r="K328" s="80"/>
      <c r="L328" s="80"/>
      <c r="M328" s="80"/>
      <c r="N328" s="134"/>
      <c r="O328" s="235">
        <f>SUM(Fluxo_de_Caixa_Janeiro31020[[#This Row],[Janeiro]:[Dezembro]])</f>
        <v>0</v>
      </c>
      <c r="P328" s="26">
        <f>IFERROR(O328/$C$332,"0,00%")</f>
        <v>0</v>
      </c>
      <c r="Q328" s="329">
        <v>0</v>
      </c>
      <c r="R328" s="32" t="str">
        <f>IF(Fluxo_de_Caixa_Janeiro31020[[#This Row],[% ACUMULADO  1º Trimes 2026]]&lt;=Fluxo_de_Caixa_Janeiro31020[[#This Row],[% ACUMULADO  1º Trimes 2025]],"VERDADEIRO","FALSO")</f>
        <v>VERDADEIRO</v>
      </c>
      <c r="V328" s="529">
        <v>0</v>
      </c>
      <c r="W328" s="601">
        <v>0</v>
      </c>
    </row>
    <row r="329" spans="2:221" ht="15" hidden="1" customHeight="1" thickBot="1" x14ac:dyDescent="0.3">
      <c r="B329" s="280">
        <f>Fluxo_de_Caixa_Janeiro[[#This Row],[Fluxo de Caixa 2026 CTR]]</f>
        <v>0</v>
      </c>
      <c r="C329" s="163">
        <f>Fluxo_de_Caixa_Janeiro[[#This Row],[Janeiro]]</f>
        <v>0</v>
      </c>
      <c r="D329" s="106">
        <f>Fluxo_de_Caixa_Janeiro3[[#This Row],[Fevereiro]]</f>
        <v>0</v>
      </c>
      <c r="E329" s="106">
        <f>Fluxo_de_Caixa_Janeiro34[[#This Row],[Março]]</f>
        <v>0</v>
      </c>
      <c r="F329" s="106"/>
      <c r="G329" s="106"/>
      <c r="H329" s="135"/>
      <c r="I329" s="106"/>
      <c r="J329" s="106"/>
      <c r="K329" s="106"/>
      <c r="L329" s="106"/>
      <c r="M329" s="106"/>
      <c r="N329" s="135"/>
      <c r="O329" s="236">
        <f>SUM(Fluxo_de_Caixa_Janeiro31020[[#This Row],[Janeiro]:[Dezembro]])</f>
        <v>0</v>
      </c>
      <c r="P329" s="148">
        <f>IFERROR(O329/$C$332,"0,00%")</f>
        <v>0</v>
      </c>
      <c r="Q329" s="558">
        <v>0</v>
      </c>
      <c r="R329" s="32" t="str">
        <f>IF(Fluxo_de_Caixa_Janeiro31020[[#This Row],[% ACUMULADO  1º Trimes 2026]]&lt;=Fluxo_de_Caixa_Janeiro31020[[#This Row],[% ACUMULADO  1º Trimes 2025]],"VERDADEIRO","FALSO")</f>
        <v>VERDADEIRO</v>
      </c>
      <c r="V329" s="530">
        <v>0</v>
      </c>
      <c r="W329" s="602">
        <v>0</v>
      </c>
    </row>
    <row r="330" spans="2:221" s="4" customFormat="1" ht="24" thickBot="1" x14ac:dyDescent="0.4">
      <c r="B330" s="281" t="str">
        <f>Fluxo_de_Caixa_Janeiro[[#This Row],[Fluxo de Caixa 2026 CTR]]</f>
        <v>Total das Despesas Não Operacional</v>
      </c>
      <c r="C330" s="177">
        <f>Fluxo_de_Caixa_Janeiro[[#This Row],[Janeiro]]</f>
        <v>-32240.519999999997</v>
      </c>
      <c r="D330" s="184">
        <f>Fluxo_de_Caixa_Janeiro3[[#This Row],[Fevereiro]]</f>
        <v>-136677.07999999999</v>
      </c>
      <c r="E330" s="184">
        <f>Fluxo_de_Caixa_Janeiro34[[#This Row],[Março]]</f>
        <v>-648804.6100000001</v>
      </c>
      <c r="F330" s="184"/>
      <c r="G330" s="184"/>
      <c r="H330" s="291"/>
      <c r="I330" s="299"/>
      <c r="J330" s="184"/>
      <c r="K330" s="184"/>
      <c r="L330" s="184"/>
      <c r="M330" s="184"/>
      <c r="N330" s="184"/>
      <c r="O330" s="227">
        <f>SUM(Fluxo_de_Caixa_Janeiro31020[[#This Row],[Janeiro]:[Dezembro]])</f>
        <v>-817722.21000000008</v>
      </c>
      <c r="P330" s="149">
        <f>IFERROR(O330/(O27+O238),"0,00%")</f>
        <v>-0.22054228096578057</v>
      </c>
      <c r="Q330" s="559">
        <v>-8.331140843586872E-2</v>
      </c>
      <c r="R330" s="32" t="str">
        <f>IF(Fluxo_de_Caixa_Janeiro31020[[#This Row],[% ACUMULADO  1º Trimes 2026]]&lt;=Fluxo_de_Caixa_Janeiro31020[[#This Row],[% ACUMULADO  1º Trimes 2025]],"VERDADEIRO","FALSO")</f>
        <v>VERDADEIRO</v>
      </c>
      <c r="S330" s="1"/>
      <c r="T330" s="248"/>
      <c r="U330" s="1"/>
      <c r="V330" s="521">
        <v>-228621.37999999998</v>
      </c>
      <c r="W330" s="603">
        <v>-8.331140843586872E-2</v>
      </c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35">
      <c r="B331" s="173" t="str">
        <f>Fluxo_de_Caixa_Janeiro[[#This Row],[Fluxo de Caixa 2026 CTR]]</f>
        <v>Saldo Inicial Conta Movimento</v>
      </c>
      <c r="C331" s="178">
        <f>Fluxo_de_Caixa_Janeiro[[#This Row],[Janeiro]]</f>
        <v>67410.42</v>
      </c>
      <c r="D331" s="185">
        <f>Fluxo_de_Caixa_Janeiro3[[#This Row],[Fevereiro]]</f>
        <v>31847.63</v>
      </c>
      <c r="E331" s="185">
        <f>Fluxo_de_Caixa_Janeiro34[[#This Row],[Março]]</f>
        <v>8957.5900000000074</v>
      </c>
      <c r="F331" s="185"/>
      <c r="G331" s="185"/>
      <c r="H331" s="292"/>
      <c r="I331" s="300"/>
      <c r="J331" s="185"/>
      <c r="K331" s="185"/>
      <c r="L331" s="185"/>
      <c r="M331" s="185"/>
      <c r="N331" s="185"/>
      <c r="O331" s="237">
        <f>Fluxo_de_Caixa_Janeiro31020[[#This Row],[Janeiro]]</f>
        <v>67410.42</v>
      </c>
      <c r="P331" s="150"/>
      <c r="Q331" s="560"/>
      <c r="R331" s="32"/>
      <c r="S331" s="1"/>
      <c r="T331" s="1"/>
      <c r="U331" s="1"/>
      <c r="V331" s="531">
        <v>192641.1</v>
      </c>
      <c r="W331" s="178"/>
      <c r="X331" s="1"/>
      <c r="Y331" s="1"/>
    </row>
    <row r="332" spans="2:221" ht="19.149999999999999" customHeight="1" thickBot="1" x14ac:dyDescent="0.35">
      <c r="B332" s="282" t="str">
        <f>Fluxo_de_Caixa_Janeiro[[#This Row],[Fluxo de Caixa 2026 CTR]]</f>
        <v>Total Receitas Operac. e Não Operac.</v>
      </c>
      <c r="C332" s="179">
        <f>Fluxo_de_Caixa_Janeiro[[#This Row],[Janeiro]]</f>
        <v>750934.90999999992</v>
      </c>
      <c r="D332" s="186">
        <f>Fluxo_de_Caixa_Janeiro3[[#This Row],[Fevereiro]]</f>
        <v>1038662.66</v>
      </c>
      <c r="E332" s="186">
        <f>Fluxo_de_Caixa_Janeiro34[[#This Row],[Março]]</f>
        <v>1918182.21</v>
      </c>
      <c r="F332" s="186"/>
      <c r="G332" s="186"/>
      <c r="H332" s="293"/>
      <c r="I332" s="301"/>
      <c r="J332" s="186"/>
      <c r="K332" s="186"/>
      <c r="L332" s="186"/>
      <c r="M332" s="186"/>
      <c r="N332" s="186"/>
      <c r="O332" s="238">
        <f>SUM(Fluxo_de_Caixa_Janeiro31020[[#This Row],[Janeiro]:[Dezembro]])</f>
        <v>3707779.78</v>
      </c>
      <c r="P332" s="151">
        <f>SUM(P27,P238)</f>
        <v>1</v>
      </c>
      <c r="Q332" s="561">
        <v>1</v>
      </c>
      <c r="R332" s="32"/>
      <c r="S332" s="1"/>
      <c r="T332" s="1"/>
      <c r="U332" s="1"/>
      <c r="V332" s="532">
        <v>2744178.55</v>
      </c>
      <c r="W332" s="604">
        <v>1</v>
      </c>
      <c r="X332" s="1"/>
      <c r="Y332" s="1"/>
    </row>
    <row r="333" spans="2:221" s="5" customFormat="1" ht="27" customHeight="1" thickBot="1" x14ac:dyDescent="0.35">
      <c r="B333" s="283" t="str">
        <f>Fluxo_de_Caixa_Janeiro[[#This Row],[Fluxo de Caixa 2026 CTR]]</f>
        <v>Total Despesas Operac. e Não Operac.</v>
      </c>
      <c r="C333" s="180">
        <f>Fluxo_de_Caixa_Janeiro[[#This Row],[Janeiro]]</f>
        <v>-786347.69</v>
      </c>
      <c r="D333" s="187">
        <f>Fluxo_de_Caixa_Janeiro3[[#This Row],[Fevereiro]]</f>
        <v>-1061732.7100000002</v>
      </c>
      <c r="E333" s="187">
        <f>Fluxo_de_Caixa_Janeiro34[[#This Row],[Março]]</f>
        <v>-1489764.8800000001</v>
      </c>
      <c r="F333" s="187"/>
      <c r="G333" s="187"/>
      <c r="H333" s="294"/>
      <c r="I333" s="302"/>
      <c r="J333" s="187"/>
      <c r="K333" s="187"/>
      <c r="L333" s="187"/>
      <c r="M333" s="187"/>
      <c r="N333" s="187"/>
      <c r="O333" s="239">
        <f>SUM(Fluxo_de_Caixa_Janeiro31020[[#This Row],[Janeiro]:[Dezembro]])</f>
        <v>-3337845.2800000003</v>
      </c>
      <c r="P333" s="152">
        <f>IFERROR(O333/O332,"0,00%")</f>
        <v>-0.90022748869945035</v>
      </c>
      <c r="Q333" s="562">
        <v>-1.0251517234547296</v>
      </c>
      <c r="R333" s="32" t="str">
        <f>IF(Fluxo_de_Caixa_Janeiro31020[[#This Row],[% ACUMULADO  1º Trimes 2026]]&gt;=Fluxo_de_Caixa_Janeiro31020[[#This Row],[% ACUMULADO  1º Trimes 2025]],"VERDADEIRO","FALSO")</f>
        <v>VERDADEIRO</v>
      </c>
      <c r="S333" s="8"/>
      <c r="T333" s="8"/>
      <c r="U333" s="8"/>
      <c r="V333" s="533">
        <v>-2813199.3700000006</v>
      </c>
      <c r="W333" s="605">
        <v>-1.0251517234547296</v>
      </c>
      <c r="X333" s="8"/>
      <c r="Y333" s="8"/>
    </row>
    <row r="334" spans="2:221" ht="21.75" thickBot="1" x14ac:dyDescent="0.3">
      <c r="B334" s="271" t="str">
        <f>Fluxo_de_Caixa_Janeiro[[#This Row],[Fluxo de Caixa 2026 CTR]]</f>
        <v xml:space="preserve">Saldo Liquido Final  </v>
      </c>
      <c r="C334" s="181">
        <f>Fluxo_de_Caixa_Janeiro[[#This Row],[Janeiro]]</f>
        <v>-35412.780000000028</v>
      </c>
      <c r="D334" s="188">
        <f>Fluxo_de_Caixa_Janeiro3[[#This Row],[Fevereiro]]</f>
        <v>-23070.050000000163</v>
      </c>
      <c r="E334" s="188">
        <f>Fluxo_de_Caixa_Janeiro34[[#This Row],[Março]]</f>
        <v>428417.32999999984</v>
      </c>
      <c r="F334" s="188"/>
      <c r="G334" s="188"/>
      <c r="H334" s="295"/>
      <c r="I334" s="303"/>
      <c r="J334" s="188"/>
      <c r="K334" s="188"/>
      <c r="L334" s="188"/>
      <c r="M334" s="188"/>
      <c r="N334" s="188"/>
      <c r="O334" s="240">
        <f>SUM(Fluxo_de_Caixa_Janeiro31020[[#This Row],[Janeiro]:[Dezembro]])</f>
        <v>369934.49999999965</v>
      </c>
      <c r="P334" s="27">
        <f>IFERROR(O334/O332,"0,00%")</f>
        <v>9.9772511300549704E-2</v>
      </c>
      <c r="Q334" s="334">
        <v>-2.5151723454729352E-2</v>
      </c>
      <c r="R334" s="32" t="str">
        <f>IF(Fluxo_de_Caixa_Janeiro31020[[#This Row],[% ACUMULADO  1º Trimes 2026]]&gt;=Fluxo_de_Caixa_Janeiro31020[[#This Row],[% ACUMULADO  1º Trimes 2025]],"VERDADEIRO","FALSO")</f>
        <v>VERDADEIRO</v>
      </c>
      <c r="S334" s="1"/>
      <c r="T334" s="1"/>
      <c r="U334" s="1"/>
      <c r="V334" s="534">
        <v>-69020.820000000182</v>
      </c>
      <c r="W334" s="606">
        <v>-2.5151723454729352E-2</v>
      </c>
      <c r="X334" s="1"/>
      <c r="Y334" s="1"/>
    </row>
    <row r="335" spans="2:221" ht="27" thickBot="1" x14ac:dyDescent="0.45">
      <c r="B335" s="174" t="str">
        <f>Fluxo_de_Caixa_Janeiro[[#This Row],[Fluxo de Caixa 2026 CTR]]</f>
        <v xml:space="preserve">Saldo Liquido Ajustado  </v>
      </c>
      <c r="C335" s="182">
        <f>Fluxo_de_Caixa_Janeiro[[#This Row],[Janeiro]]</f>
        <v>31997.640000000014</v>
      </c>
      <c r="D335" s="189">
        <f>Fluxo_de_Caixa_Janeiro3[[#This Row],[Fevereiro]]</f>
        <v>8777.5799999998417</v>
      </c>
      <c r="E335" s="189">
        <f>Fluxo_de_Caixa_Janeiro34[[#This Row],[Março]]</f>
        <v>437374.91999999993</v>
      </c>
      <c r="F335" s="189"/>
      <c r="G335" s="189"/>
      <c r="H335" s="296"/>
      <c r="I335" s="304"/>
      <c r="J335" s="189"/>
      <c r="K335" s="189"/>
      <c r="L335" s="189"/>
      <c r="M335" s="189"/>
      <c r="N335" s="189"/>
      <c r="O335" s="241">
        <f>SUM(O332,O331,O333)</f>
        <v>437344.91999999946</v>
      </c>
      <c r="P335" s="153">
        <f>IFERROR(O335/(O332+O331),"0,00%")</f>
        <v>0.11584712208672281</v>
      </c>
      <c r="Q335" s="563">
        <v>4.2093248729113936E-2</v>
      </c>
      <c r="R335" s="32" t="str">
        <f>IF(Fluxo_de_Caixa_Janeiro31020[[#This Row],[% ACUMULADO  1º Trimes 2026]]&gt;=Fluxo_de_Caixa_Janeiro31020[[#This Row],[% ACUMULADO  1º Trimes 2025]],"VERDADEIRO","FALSO")</f>
        <v>VERDADEIRO</v>
      </c>
      <c r="V335" s="535">
        <v>123620.27999999933</v>
      </c>
      <c r="W335" s="607">
        <v>4.2093248729113936E-2</v>
      </c>
    </row>
    <row r="336" spans="2:221" ht="24" thickBot="1" x14ac:dyDescent="0.4">
      <c r="B336" s="175" t="str">
        <f>Fluxo_de_Caixa_Janeiro[[#This Row],[Fluxo de Caixa 2026 CTR]]</f>
        <v>Disponíveis nas Contas Movimento</v>
      </c>
      <c r="C336" s="183">
        <f>Fluxo_de_Caixa_Janeiro[[#This Row],[Janeiro]]</f>
        <v>31847.63</v>
      </c>
      <c r="D336" s="190">
        <f>Fluxo_de_Caixa_Janeiro3[[#This Row],[Fevereiro]]</f>
        <v>8957.5900000000074</v>
      </c>
      <c r="E336" s="190">
        <f>Fluxo_de_Caixa_Janeiro34[[#This Row],[Março]]</f>
        <v>437595.5799999999</v>
      </c>
      <c r="F336" s="190"/>
      <c r="G336" s="190"/>
      <c r="H336" s="297"/>
      <c r="I336" s="305"/>
      <c r="J336" s="190"/>
      <c r="K336" s="190"/>
      <c r="L336" s="190"/>
      <c r="M336" s="190"/>
      <c r="N336" s="190"/>
      <c r="O336" s="242">
        <f>SUM(O337:O360)</f>
        <v>437595.5799999999</v>
      </c>
      <c r="P336" s="254">
        <f>SUM(P337:P359)</f>
        <v>1</v>
      </c>
      <c r="Q336" s="564"/>
      <c r="R336" s="34"/>
      <c r="T336" s="404"/>
      <c r="V336" s="536">
        <f>SUM(V337:V359)</f>
        <v>123620.28000000001</v>
      </c>
      <c r="W336" s="608">
        <v>1.257520795534214</v>
      </c>
    </row>
    <row r="337" spans="2:23" x14ac:dyDescent="0.25">
      <c r="B337" s="47" t="str">
        <f>Fluxo_de_Caixa_Janeiro[[#This Row],[Fluxo de Caixa 2026 CTR]]</f>
        <v>1.0 - TESOURARIA MATRIZ PALMAS</v>
      </c>
      <c r="C337" s="41">
        <f>Fluxo_de_Caixa_Janeiro[[#This Row],[Janeiro]]</f>
        <v>40.53</v>
      </c>
      <c r="D337" s="81">
        <f>Fluxo_de_Caixa_Janeiro3[[#This Row],[Fevereiro]]</f>
        <v>337.58</v>
      </c>
      <c r="E337" s="81">
        <f>Fluxo_de_Caixa_Janeiro34[[#This Row],[Março]]</f>
        <v>850.58</v>
      </c>
      <c r="F337" s="81"/>
      <c r="G337" s="81"/>
      <c r="H337" s="118"/>
      <c r="I337" s="81"/>
      <c r="J337" s="81"/>
      <c r="K337" s="81"/>
      <c r="L337" s="81"/>
      <c r="M337" s="81"/>
      <c r="N337" s="118"/>
      <c r="O337" s="243">
        <f>Fluxo_de_Caixa_Janeiro31020[[#This Row],[Março]]</f>
        <v>850.58</v>
      </c>
      <c r="P337" s="28">
        <f t="shared" ref="P337:P361" si="17">IFERROR(O337/$O$336,"0,00%")</f>
        <v>1.9437582070641578E-3</v>
      </c>
      <c r="Q337" s="565"/>
      <c r="R337" s="34"/>
      <c r="V337" s="537">
        <v>666.17</v>
      </c>
      <c r="W337" s="573">
        <v>6.7765792826308706E-3</v>
      </c>
    </row>
    <row r="338" spans="2:23" x14ac:dyDescent="0.25">
      <c r="B338" s="47" t="str">
        <f>Fluxo_de_Caixa_Janeiro[[#This Row],[Fluxo de Caixa 2026 CTR]]</f>
        <v>1.1 - BANCO DO BRASIL C.C.60409-7 MATRIZ</v>
      </c>
      <c r="C338" s="41">
        <f>Fluxo_de_Caixa_Janeiro[[#This Row],[Janeiro]]</f>
        <v>108.85</v>
      </c>
      <c r="D338" s="81">
        <f>Fluxo_de_Caixa_Janeiro3[[#This Row],[Fevereiro]]</f>
        <v>55.77</v>
      </c>
      <c r="E338" s="81">
        <f>Fluxo_de_Caixa_Janeiro34[[#This Row],[Março]]</f>
        <v>36651.07</v>
      </c>
      <c r="F338" s="81"/>
      <c r="G338" s="81"/>
      <c r="H338" s="118"/>
      <c r="I338" s="81"/>
      <c r="J338" s="81"/>
      <c r="K338" s="81"/>
      <c r="L338" s="81"/>
      <c r="M338" s="81"/>
      <c r="N338" s="118"/>
      <c r="O338" s="243">
        <f>Fluxo_de_Caixa_Janeiro31020[[#This Row],[Março]]</f>
        <v>36651.07</v>
      </c>
      <c r="P338" s="28">
        <f t="shared" ref="P338:P359" si="18">IFERROR(O338/$O$336,"0,00%")</f>
        <v>8.3755576324605494E-2</v>
      </c>
      <c r="Q338" s="337"/>
      <c r="R338" s="34"/>
      <c r="V338" s="537">
        <v>14941.35</v>
      </c>
      <c r="W338" s="573">
        <v>0.1519900969190098</v>
      </c>
    </row>
    <row r="339" spans="2:23" hidden="1" x14ac:dyDescent="0.25">
      <c r="B339" s="47">
        <f>Fluxo_de_Caixa_Janeiro[[#This Row],[Fluxo de Caixa 2026 CTR]]</f>
        <v>0</v>
      </c>
      <c r="C339" s="41">
        <f>Fluxo_de_Caixa_Janeiro[[#This Row],[Janeiro]]</f>
        <v>0</v>
      </c>
      <c r="D339" s="81">
        <f>Fluxo_de_Caixa_Janeiro3[[#This Row],[Fevereiro]]</f>
        <v>0</v>
      </c>
      <c r="E339" s="81">
        <f>Fluxo_de_Caixa_Janeiro34[[#This Row],[Março]]</f>
        <v>0</v>
      </c>
      <c r="F339" s="81"/>
      <c r="G339" s="81"/>
      <c r="H339" s="118"/>
      <c r="I339" s="81"/>
      <c r="J339" s="81"/>
      <c r="K339" s="81"/>
      <c r="L339" s="81"/>
      <c r="M339" s="81"/>
      <c r="N339" s="118"/>
      <c r="O339" s="243">
        <f>Fluxo_de_Caixa_Janeiro31020[[#This Row],[Março]]</f>
        <v>0</v>
      </c>
      <c r="P339" s="28">
        <f t="shared" si="18"/>
        <v>0</v>
      </c>
      <c r="Q339" s="617"/>
      <c r="R339" s="34"/>
      <c r="V339" s="537">
        <v>0</v>
      </c>
      <c r="W339" s="573">
        <v>0</v>
      </c>
    </row>
    <row r="340" spans="2:23" x14ac:dyDescent="0.25">
      <c r="B340" s="47" t="str">
        <f>Fluxo_de_Caixa_Janeiro[[#This Row],[Fluxo de Caixa 2026 CTR]]</f>
        <v>1.2-BRADESCO 15232-3 MATRIZ</v>
      </c>
      <c r="C340" s="41">
        <f>Fluxo_de_Caixa_Janeiro[[#This Row],[Janeiro]]</f>
        <v>3332.91</v>
      </c>
      <c r="D340" s="81">
        <f>Fluxo_de_Caixa_Janeiro3[[#This Row],[Fevereiro]]</f>
        <v>25.97</v>
      </c>
      <c r="E340" s="81">
        <f>Fluxo_de_Caixa_Janeiro34[[#This Row],[Março]]</f>
        <v>6785.01</v>
      </c>
      <c r="F340" s="81"/>
      <c r="G340" s="81"/>
      <c r="H340" s="118"/>
      <c r="I340" s="81"/>
      <c r="J340" s="81"/>
      <c r="K340" s="81"/>
      <c r="L340" s="81"/>
      <c r="M340" s="81"/>
      <c r="N340" s="118"/>
      <c r="O340" s="243">
        <f>Fluxo_de_Caixa_Janeiro31020[[#This Row],[Março]]</f>
        <v>6785.01</v>
      </c>
      <c r="P340" s="28">
        <f t="shared" si="18"/>
        <v>1.550520688531635E-2</v>
      </c>
      <c r="Q340" s="617"/>
      <c r="R340" s="34"/>
      <c r="V340" s="537">
        <v>23266.65</v>
      </c>
      <c r="W340" s="573">
        <v>0.23667877323539571</v>
      </c>
    </row>
    <row r="341" spans="2:23" hidden="1" x14ac:dyDescent="0.25">
      <c r="B341" s="47">
        <f>Fluxo_de_Caixa_Janeiro[[#This Row],[Fluxo de Caixa 2026 CTR]]</f>
        <v>0</v>
      </c>
      <c r="C341" s="41">
        <f>Fluxo_de_Caixa_Janeiro[[#This Row],[Janeiro]]</f>
        <v>0</v>
      </c>
      <c r="D341" s="81">
        <f>Fluxo_de_Caixa_Janeiro3[[#This Row],[Fevereiro]]</f>
        <v>0</v>
      </c>
      <c r="E341" s="81">
        <f>Fluxo_de_Caixa_Janeiro34[[#This Row],[Março]]</f>
        <v>0</v>
      </c>
      <c r="F341" s="81"/>
      <c r="G341" s="81"/>
      <c r="H341" s="118"/>
      <c r="I341" s="81"/>
      <c r="J341" s="81"/>
      <c r="K341" s="81"/>
      <c r="L341" s="81"/>
      <c r="M341" s="81"/>
      <c r="N341" s="118"/>
      <c r="O341" s="243">
        <f>Fluxo_de_Caixa_Janeiro31020[[#This Row],[Março]]</f>
        <v>0</v>
      </c>
      <c r="P341" s="28">
        <f t="shared" si="18"/>
        <v>0</v>
      </c>
      <c r="Q341" s="617"/>
      <c r="R341" s="34"/>
      <c r="V341" s="537">
        <v>0</v>
      </c>
      <c r="W341" s="573">
        <v>0</v>
      </c>
    </row>
    <row r="342" spans="2:23" x14ac:dyDescent="0.25">
      <c r="B342" s="47" t="str">
        <f>Fluxo_de_Caixa_Janeiro[[#This Row],[Fluxo de Caixa 2026 CTR]]</f>
        <v>1.3 - BANCO STONE MATRIZ C.C 40256726-7</v>
      </c>
      <c r="C342" s="41">
        <f>Fluxo_de_Caixa_Janeiro[[#This Row],[Janeiro]]</f>
        <v>2671</v>
      </c>
      <c r="D342" s="81">
        <f>Fluxo_de_Caixa_Janeiro3[[#This Row],[Fevereiro]]</f>
        <v>0</v>
      </c>
      <c r="E342" s="81">
        <f>Fluxo_de_Caixa_Janeiro34[[#This Row],[Março]]</f>
        <v>0</v>
      </c>
      <c r="F342" s="81"/>
      <c r="G342" s="81"/>
      <c r="H342" s="118"/>
      <c r="I342" s="81"/>
      <c r="J342" s="81"/>
      <c r="K342" s="81"/>
      <c r="L342" s="81"/>
      <c r="M342" s="81"/>
      <c r="N342" s="118"/>
      <c r="O342" s="243">
        <f>Fluxo_de_Caixa_Janeiro31020[[#This Row],[Março]]</f>
        <v>0</v>
      </c>
      <c r="P342" s="28">
        <f t="shared" si="18"/>
        <v>0</v>
      </c>
      <c r="Q342" s="617"/>
      <c r="R342" s="34"/>
      <c r="V342" s="537">
        <v>2508.69</v>
      </c>
      <c r="W342" s="573">
        <v>2.5519517061025322E-2</v>
      </c>
    </row>
    <row r="343" spans="2:23" hidden="1" x14ac:dyDescent="0.25">
      <c r="B343" s="47" t="str">
        <f>Fluxo_de_Caixa_Janeiro[[#This Row],[Fluxo de Caixa 2026 CTR]]</f>
        <v>1.4 - BANCO DA AMAZONIA 071730-7 MATRIZ</v>
      </c>
      <c r="C343" s="41">
        <f>Fluxo_de_Caixa_Janeiro[[#This Row],[Janeiro]]</f>
        <v>281.77999999999997</v>
      </c>
      <c r="D343" s="81">
        <f>Fluxo_de_Caixa_Janeiro3[[#This Row],[Fevereiro]]</f>
        <v>1900.51</v>
      </c>
      <c r="E343" s="81">
        <f>Fluxo_de_Caixa_Janeiro34[[#This Row],[Março]]</f>
        <v>304243.92</v>
      </c>
      <c r="F343" s="81"/>
      <c r="G343" s="81"/>
      <c r="H343" s="118"/>
      <c r="I343" s="81"/>
      <c r="J343" s="81"/>
      <c r="K343" s="81"/>
      <c r="L343" s="81"/>
      <c r="M343" s="81"/>
      <c r="N343" s="118"/>
      <c r="O343" s="243">
        <f>Fluxo_de_Caixa_Janeiro31020[[#This Row],[Março]]</f>
        <v>304243.92</v>
      </c>
      <c r="P343" s="28">
        <f t="shared" si="18"/>
        <v>0.69526278121913399</v>
      </c>
      <c r="Q343" s="617"/>
      <c r="R343" s="34"/>
      <c r="V343" s="537">
        <v>0</v>
      </c>
      <c r="W343" s="573">
        <v>0</v>
      </c>
    </row>
    <row r="344" spans="2:23" x14ac:dyDescent="0.25">
      <c r="B344" s="47" t="str">
        <f>Fluxo_de_Caixa_Janeiro[[#This Row],[Fluxo de Caixa 2026 CTR]]</f>
        <v>1.4.1.INVESTIMENTO CDBORE RCP TXFL</v>
      </c>
      <c r="C344" s="41">
        <f>Fluxo_de_Caixa_Janeiro[[#This Row],[Janeiro]]</f>
        <v>0</v>
      </c>
      <c r="D344" s="81">
        <f>Fluxo_de_Caixa_Janeiro3[[#This Row],[Fevereiro]]</f>
        <v>0</v>
      </c>
      <c r="E344" s="81">
        <f>Fluxo_de_Caixa_Janeiro34[[#This Row],[Março]]</f>
        <v>0</v>
      </c>
      <c r="F344" s="81"/>
      <c r="G344" s="81"/>
      <c r="H344" s="118"/>
      <c r="I344" s="81"/>
      <c r="J344" s="81"/>
      <c r="K344" s="81"/>
      <c r="L344" s="81"/>
      <c r="M344" s="81"/>
      <c r="N344" s="118"/>
      <c r="O344" s="243">
        <f>Fluxo_de_Caixa_Janeiro31020[[#This Row],[Março]]</f>
        <v>0</v>
      </c>
      <c r="P344" s="28">
        <f t="shared" si="18"/>
        <v>0</v>
      </c>
      <c r="Q344" s="617"/>
      <c r="R344" s="34"/>
      <c r="V344" s="537">
        <v>1651.96</v>
      </c>
      <c r="W344" s="573">
        <v>1.680447620237311E-2</v>
      </c>
    </row>
    <row r="345" spans="2:23" x14ac:dyDescent="0.25">
      <c r="B345" s="47" t="str">
        <f>Fluxo_de_Caixa_Janeiro[[#This Row],[Fluxo de Caixa 2026 CTR]]</f>
        <v>1.5 -  ITAU C.C.98671-6 MATRIZ</v>
      </c>
      <c r="C345" s="41">
        <f>Fluxo_de_Caixa_Janeiro[[#This Row],[Janeiro]]</f>
        <v>18153.73</v>
      </c>
      <c r="D345" s="81">
        <f>Fluxo_de_Caixa_Janeiro3[[#This Row],[Fevereiro]]</f>
        <v>33831.300000000003</v>
      </c>
      <c r="E345" s="81">
        <f>Fluxo_de_Caixa_Janeiro34[[#This Row],[Março]]</f>
        <v>95802.27</v>
      </c>
      <c r="F345" s="81"/>
      <c r="G345" s="81"/>
      <c r="H345" s="118"/>
      <c r="I345" s="81"/>
      <c r="J345" s="81"/>
      <c r="K345" s="81"/>
      <c r="L345" s="81"/>
      <c r="M345" s="81"/>
      <c r="N345" s="118"/>
      <c r="O345" s="243">
        <f>Fluxo_de_Caixa_Janeiro31020[[#This Row],[Março]]</f>
        <v>95802.27</v>
      </c>
      <c r="P345" s="28">
        <f t="shared" si="18"/>
        <v>0.21892878808328006</v>
      </c>
      <c r="Q345" s="617"/>
      <c r="R345" s="34"/>
      <c r="V345" s="537">
        <v>0</v>
      </c>
      <c r="W345" s="573">
        <v>0</v>
      </c>
    </row>
    <row r="346" spans="2:23" x14ac:dyDescent="0.25">
      <c r="B346" s="47" t="str">
        <f>Fluxo_de_Caixa_Janeiro[[#This Row],[Fluxo de Caixa 2026 CTR]]</f>
        <v>1.5.03. ITAU C.C 83290-2 GARANTIDA</v>
      </c>
      <c r="C346" s="41">
        <f>Fluxo_de_Caixa_Janeiro[[#This Row],[Janeiro]]</f>
        <v>1286.28</v>
      </c>
      <c r="D346" s="81">
        <f>Fluxo_de_Caixa_Janeiro3[[#This Row],[Fevereiro]]</f>
        <v>5399.76</v>
      </c>
      <c r="E346" s="81">
        <f>Fluxo_de_Caixa_Janeiro34[[#This Row],[Março]]</f>
        <v>0</v>
      </c>
      <c r="F346" s="81"/>
      <c r="G346" s="81"/>
      <c r="H346" s="118"/>
      <c r="I346" s="81"/>
      <c r="J346" s="81"/>
      <c r="K346" s="81"/>
      <c r="L346" s="81"/>
      <c r="M346" s="81"/>
      <c r="N346" s="118"/>
      <c r="O346" s="243">
        <f>Fluxo_de_Caixa_Janeiro31020[[#This Row],[Março]]</f>
        <v>0</v>
      </c>
      <c r="P346" s="28">
        <f t="shared" si="18"/>
        <v>0</v>
      </c>
      <c r="Q346" s="617"/>
      <c r="R346" s="34"/>
      <c r="V346" s="537">
        <v>8711.8700000000008</v>
      </c>
      <c r="W346" s="573">
        <v>8.8621039306743643E-2</v>
      </c>
    </row>
    <row r="347" spans="2:23" x14ac:dyDescent="0.25">
      <c r="B347" s="47" t="str">
        <f>Fluxo_de_Caixa_Janeiro[[#This Row],[Fluxo de Caixa 2026 CTR]]</f>
        <v>1.9 - CONTA PERDA/ROUBO/BONIFICAÇÃO E DOAÇÃO</v>
      </c>
      <c r="C347" s="41">
        <f>Fluxo_de_Caixa_Janeiro[[#This Row],[Janeiro]]</f>
        <v>0</v>
      </c>
      <c r="D347" s="81">
        <f>Fluxo_de_Caixa_Janeiro3[[#This Row],[Fevereiro]]</f>
        <v>-20953.13</v>
      </c>
      <c r="E347" s="81">
        <f>Fluxo_de_Caixa_Janeiro34[[#This Row],[Março]]</f>
        <v>-20953.13</v>
      </c>
      <c r="F347" s="81"/>
      <c r="G347" s="81"/>
      <c r="H347" s="118"/>
      <c r="I347" s="81"/>
      <c r="J347" s="81"/>
      <c r="K347" s="81"/>
      <c r="L347" s="81"/>
      <c r="M347" s="81"/>
      <c r="N347" s="118"/>
      <c r="O347" s="243">
        <f>Fluxo_de_Caixa_Janeiro31020[[#This Row],[Março]]</f>
        <v>-20953.13</v>
      </c>
      <c r="P347" s="28">
        <f t="shared" si="18"/>
        <v>-4.788240777020647E-2</v>
      </c>
      <c r="Q347" s="617"/>
      <c r="R347" s="34"/>
      <c r="V347" s="537">
        <v>-3527.41</v>
      </c>
      <c r="W347" s="573">
        <v>-3.5882392673559242E-2</v>
      </c>
    </row>
    <row r="348" spans="2:23" hidden="1" x14ac:dyDescent="0.25">
      <c r="B348" s="47">
        <f>Fluxo_de_Caixa_Janeiro[[#This Row],[Fluxo de Caixa 2026 CTR]]</f>
        <v>0</v>
      </c>
      <c r="C348" s="41">
        <f>Fluxo_de_Caixa_Janeiro[[#This Row],[Janeiro]]</f>
        <v>0</v>
      </c>
      <c r="D348" s="81">
        <f>Fluxo_de_Caixa_Janeiro3[[#This Row],[Fevereiro]]</f>
        <v>0</v>
      </c>
      <c r="E348" s="81">
        <f>Fluxo_de_Caixa_Janeiro34[[#This Row],[Março]]</f>
        <v>0</v>
      </c>
      <c r="F348" s="81"/>
      <c r="G348" s="81"/>
      <c r="H348" s="118"/>
      <c r="I348" s="81"/>
      <c r="J348" s="81"/>
      <c r="K348" s="81"/>
      <c r="L348" s="81"/>
      <c r="M348" s="81"/>
      <c r="N348" s="118"/>
      <c r="O348" s="243">
        <f>Fluxo_de_Caixa_Janeiro31020[[#This Row],[Março]]</f>
        <v>0</v>
      </c>
      <c r="P348" s="28">
        <f t="shared" si="18"/>
        <v>0</v>
      </c>
      <c r="Q348" s="337"/>
      <c r="R348" s="34"/>
      <c r="V348" s="537">
        <v>345.7</v>
      </c>
      <c r="W348" s="573">
        <v>3.5166150652318358E-3</v>
      </c>
    </row>
    <row r="349" spans="2:23" x14ac:dyDescent="0.25">
      <c r="B349" s="47" t="str">
        <f>Fluxo_de_Caixa_Janeiro[[#This Row],[Fluxo de Caixa 2026 CTR]]</f>
        <v>2.1 - BANCO DO BRASIL C.C.60638-3 FILIAL PALMAS</v>
      </c>
      <c r="C349" s="41">
        <f>Fluxo_de_Caixa_Janeiro[[#This Row],[Janeiro]]</f>
        <v>1829.48</v>
      </c>
      <c r="D349" s="81">
        <f>Fluxo_de_Caixa_Janeiro3[[#This Row],[Fevereiro]]</f>
        <v>65.56</v>
      </c>
      <c r="E349" s="81">
        <f>Fluxo_de_Caixa_Janeiro34[[#This Row],[Março]]</f>
        <v>33375.699999999997</v>
      </c>
      <c r="F349" s="81"/>
      <c r="G349" s="81"/>
      <c r="H349" s="118"/>
      <c r="I349" s="81"/>
      <c r="J349" s="81"/>
      <c r="K349" s="81"/>
      <c r="L349" s="81"/>
      <c r="M349" s="81"/>
      <c r="N349" s="118"/>
      <c r="O349" s="243">
        <f>Fluxo_de_Caixa_Janeiro31020[[#This Row],[Março]]</f>
        <v>33375.699999999997</v>
      </c>
      <c r="P349" s="28">
        <f t="shared" si="18"/>
        <v>7.6270651545429238E-2</v>
      </c>
      <c r="Q349" s="337"/>
      <c r="R349" s="34"/>
      <c r="V349" s="537">
        <v>6900</v>
      </c>
      <c r="W349" s="573">
        <v>7.0189887041075122E-2</v>
      </c>
    </row>
    <row r="350" spans="2:23" hidden="1" x14ac:dyDescent="0.25">
      <c r="B350" s="47">
        <f>Fluxo_de_Caixa_Janeiro[[#This Row],[Fluxo de Caixa 2026 CTR]]</f>
        <v>0</v>
      </c>
      <c r="C350" s="41">
        <f>Fluxo_de_Caixa_Janeiro[[#This Row],[Janeiro]]</f>
        <v>0</v>
      </c>
      <c r="D350" s="81">
        <f>Fluxo_de_Caixa_Janeiro3[[#This Row],[Fevereiro]]</f>
        <v>0</v>
      </c>
      <c r="E350" s="81">
        <f>Fluxo_de_Caixa_Janeiro34[[#This Row],[Março]]</f>
        <v>0</v>
      </c>
      <c r="F350" s="81"/>
      <c r="G350" s="81"/>
      <c r="H350" s="118"/>
      <c r="I350" s="81"/>
      <c r="J350" s="81"/>
      <c r="K350" s="81"/>
      <c r="L350" s="81"/>
      <c r="M350" s="81"/>
      <c r="N350" s="118"/>
      <c r="O350" s="243">
        <f>Fluxo_de_Caixa_Janeiro31020[[#This Row],[Março]]</f>
        <v>0</v>
      </c>
      <c r="P350" s="28">
        <f t="shared" si="18"/>
        <v>0</v>
      </c>
      <c r="Q350" s="337"/>
      <c r="R350" s="34"/>
      <c r="V350" s="537">
        <v>-229.23</v>
      </c>
      <c r="W350" s="573">
        <v>-2.3318301168732823E-3</v>
      </c>
    </row>
    <row r="351" spans="2:23" hidden="1" x14ac:dyDescent="0.25">
      <c r="B351" s="47">
        <f>Fluxo_de_Caixa_Janeiro[[#This Row],[Fluxo de Caixa 2026 CTR]]</f>
        <v>0</v>
      </c>
      <c r="C351" s="41">
        <f>Fluxo_de_Caixa_Janeiro[[#This Row],[Janeiro]]</f>
        <v>0</v>
      </c>
      <c r="D351" s="81">
        <f>Fluxo_de_Caixa_Janeiro3[[#This Row],[Fevereiro]]</f>
        <v>0</v>
      </c>
      <c r="E351" s="81">
        <f>Fluxo_de_Caixa_Janeiro34[[#This Row],[Março]]</f>
        <v>0</v>
      </c>
      <c r="F351" s="81"/>
      <c r="G351" s="81"/>
      <c r="H351" s="118"/>
      <c r="I351" s="81"/>
      <c r="J351" s="81"/>
      <c r="K351" s="81"/>
      <c r="L351" s="81"/>
      <c r="M351" s="81"/>
      <c r="N351" s="118"/>
      <c r="O351" s="243">
        <f>Fluxo_de_Caixa_Janeiro31020[[#This Row],[Março]]</f>
        <v>0</v>
      </c>
      <c r="P351" s="28">
        <f t="shared" si="18"/>
        <v>0</v>
      </c>
      <c r="Q351" s="337"/>
      <c r="R351" s="34"/>
      <c r="V351" s="537"/>
      <c r="W351" s="573">
        <v>0</v>
      </c>
    </row>
    <row r="352" spans="2:23" x14ac:dyDescent="0.25">
      <c r="B352" s="47" t="str">
        <f>Fluxo_de_Caixa_Janeiro[[#This Row],[Fluxo de Caixa 2026 CTR]]</f>
        <v>2.4 - ITAU C.C.98669-0 FILIAL PALMAS</v>
      </c>
      <c r="C352" s="41">
        <f>Fluxo_de_Caixa_Janeiro[[#This Row],[Janeiro]]</f>
        <v>536.72</v>
      </c>
      <c r="D352" s="81">
        <f>Fluxo_de_Caixa_Janeiro3[[#This Row],[Fevereiro]]</f>
        <v>37.729999999999997</v>
      </c>
      <c r="E352" s="81">
        <f>Fluxo_de_Caixa_Janeiro34[[#This Row],[Março]]</f>
        <v>37.729999999999997</v>
      </c>
      <c r="F352" s="81"/>
      <c r="G352" s="81"/>
      <c r="H352" s="118"/>
      <c r="I352" s="81"/>
      <c r="J352" s="81"/>
      <c r="K352" s="81"/>
      <c r="L352" s="81"/>
      <c r="M352" s="81"/>
      <c r="N352" s="118"/>
      <c r="O352" s="243">
        <f>Fluxo_de_Caixa_Janeiro31020[[#This Row],[Março]]</f>
        <v>37.729999999999997</v>
      </c>
      <c r="P352" s="28">
        <f t="shared" si="18"/>
        <v>8.6221163385608252E-5</v>
      </c>
      <c r="Q352" s="337"/>
      <c r="R352" s="34"/>
      <c r="V352" s="537">
        <v>42122.94</v>
      </c>
      <c r="W352" s="573">
        <v>0.42849339136782388</v>
      </c>
    </row>
    <row r="353" spans="2:23" x14ac:dyDescent="0.25">
      <c r="B353" s="47" t="str">
        <f>Fluxo_de_Caixa_Janeiro[[#This Row],[Fluxo de Caixa 2026 CTR]]</f>
        <v>2.9 - CONTA PERDA/ROUBO E BONIFICAÇÃO FILIAL</v>
      </c>
      <c r="C353" s="41">
        <f>Fluxo_de_Caixa_Janeiro[[#This Row],[Janeiro]]</f>
        <v>-219.15</v>
      </c>
      <c r="D353" s="81">
        <f>Fluxo_de_Caixa_Janeiro3[[#This Row],[Fevereiro]]</f>
        <v>-8598.58</v>
      </c>
      <c r="E353" s="81">
        <f>Fluxo_de_Caixa_Janeiro34[[#This Row],[Março]]</f>
        <v>-8598.58</v>
      </c>
      <c r="F353" s="81"/>
      <c r="G353" s="81"/>
      <c r="H353" s="118"/>
      <c r="I353" s="81"/>
      <c r="J353" s="81"/>
      <c r="K353" s="81"/>
      <c r="L353" s="81"/>
      <c r="M353" s="81"/>
      <c r="N353" s="118"/>
      <c r="O353" s="243">
        <f>Fluxo_de_Caixa_Janeiro31020[[#This Row],[Março]]</f>
        <v>-8598.58</v>
      </c>
      <c r="P353" s="28">
        <f t="shared" si="18"/>
        <v>-1.9649604321871812E-2</v>
      </c>
      <c r="Q353" s="337"/>
      <c r="R353" s="34"/>
      <c r="V353" s="537">
        <v>946.07</v>
      </c>
      <c r="W353" s="573">
        <v>9.6238473091231798E-3</v>
      </c>
    </row>
    <row r="354" spans="2:23" x14ac:dyDescent="0.25">
      <c r="B354" s="47" t="str">
        <f>Fluxo_de_Caixa_Janeiro[[#This Row],[Fluxo de Caixa 2026 CTR]]</f>
        <v>4.0 - TESOURARIA FILIAL PORTO</v>
      </c>
      <c r="C354" s="41">
        <f>Fluxo_de_Caixa_Janeiro[[#This Row],[Janeiro]]</f>
        <v>385.51</v>
      </c>
      <c r="D354" s="81">
        <f>Fluxo_de_Caixa_Janeiro3[[#This Row],[Fevereiro]]</f>
        <v>1327.43</v>
      </c>
      <c r="E354" s="81">
        <f>Fluxo_de_Caixa_Janeiro34[[#This Row],[Março]]</f>
        <v>534.16</v>
      </c>
      <c r="F354" s="81"/>
      <c r="G354" s="81"/>
      <c r="H354" s="118"/>
      <c r="I354" s="81"/>
      <c r="J354" s="81"/>
      <c r="K354" s="81"/>
      <c r="L354" s="81"/>
      <c r="M354" s="81"/>
      <c r="N354" s="118"/>
      <c r="O354" s="243">
        <f>Fluxo_de_Caixa_Janeiro31020[[#This Row],[Março]]</f>
        <v>534.16</v>
      </c>
      <c r="P354" s="28">
        <f t="shared" si="18"/>
        <v>1.2206704647245296E-3</v>
      </c>
      <c r="Q354" s="337"/>
      <c r="R354" s="34"/>
      <c r="V354" s="537">
        <v>18597.689999999999</v>
      </c>
      <c r="W354" s="573">
        <v>0.18918402323549741</v>
      </c>
    </row>
    <row r="355" spans="2:23" x14ac:dyDescent="0.25">
      <c r="B355" s="47" t="str">
        <f>Fluxo_de_Caixa_Janeiro[[#This Row],[Fluxo de Caixa 2026 CTR]]</f>
        <v>4.1 -  BANCO DO BRASIL C.C.61105-0 FILIAL PORTO</v>
      </c>
      <c r="C355" s="41">
        <f>Fluxo_de_Caixa_Janeiro[[#This Row],[Janeiro]]</f>
        <v>16.829999999999998</v>
      </c>
      <c r="D355" s="81">
        <f>Fluxo_de_Caixa_Janeiro3[[#This Row],[Fevereiro]]</f>
        <v>111.93</v>
      </c>
      <c r="E355" s="81">
        <f>Fluxo_de_Caixa_Janeiro34[[#This Row],[Março]]</f>
        <v>521.91999999999996</v>
      </c>
      <c r="F355" s="81"/>
      <c r="G355" s="81"/>
      <c r="H355" s="118"/>
      <c r="I355" s="81"/>
      <c r="J355" s="81"/>
      <c r="K355" s="81"/>
      <c r="L355" s="81"/>
      <c r="M355" s="81"/>
      <c r="N355" s="118"/>
      <c r="O355" s="243">
        <f>Fluxo_de_Caixa_Janeiro31020[[#This Row],[Março]]</f>
        <v>521.91999999999996</v>
      </c>
      <c r="P355" s="28">
        <f t="shared" si="18"/>
        <v>1.1926994326588035E-3</v>
      </c>
      <c r="Q355" s="337"/>
      <c r="R355" s="34"/>
      <c r="V355" s="537">
        <v>0</v>
      </c>
      <c r="W355" s="573">
        <v>0</v>
      </c>
    </row>
    <row r="356" spans="2:23" hidden="1" x14ac:dyDescent="0.25">
      <c r="B356" s="47">
        <f>Fluxo_de_Caixa_Janeiro[[#This Row],[Fluxo de Caixa 2026 CTR]]</f>
        <v>0</v>
      </c>
      <c r="C356" s="41">
        <f>Fluxo_de_Caixa_Janeiro[[#This Row],[Janeiro]]</f>
        <v>0</v>
      </c>
      <c r="D356" s="81">
        <f>Fluxo_de_Caixa_Janeiro3[[#This Row],[Fevereiro]]</f>
        <v>0</v>
      </c>
      <c r="E356" s="81">
        <f>Fluxo_de_Caixa_Janeiro34[[#This Row],[Março]]</f>
        <v>0</v>
      </c>
      <c r="F356" s="81"/>
      <c r="G356" s="81"/>
      <c r="H356" s="118"/>
      <c r="I356" s="81"/>
      <c r="J356" s="81"/>
      <c r="K356" s="81"/>
      <c r="L356" s="81"/>
      <c r="M356" s="81"/>
      <c r="N356" s="118"/>
      <c r="O356" s="243">
        <f>Fluxo_de_Caixa_Janeiro31020[[#This Row],[Março]]</f>
        <v>0</v>
      </c>
      <c r="P356" s="28">
        <f t="shared" si="18"/>
        <v>0</v>
      </c>
      <c r="Q356" s="337"/>
      <c r="V356" s="537">
        <v>0</v>
      </c>
      <c r="W356" s="573">
        <v>0</v>
      </c>
    </row>
    <row r="357" spans="2:23" x14ac:dyDescent="0.25">
      <c r="B357" s="47" t="str">
        <f>Fluxo_de_Caixa_Janeiro[[#This Row],[Fluxo de Caixa 2026 CTR]]</f>
        <v>4.4 - MERCADO PAGO PIX FILIAL PORTO</v>
      </c>
      <c r="C357" s="41">
        <f>Fluxo_de_Caixa_Janeiro[[#This Row],[Janeiro]]</f>
        <v>2060.42</v>
      </c>
      <c r="D357" s="81">
        <f>Fluxo_de_Caixa_Janeiro3[[#This Row],[Fevereiro]]</f>
        <v>22539.57</v>
      </c>
      <c r="E357" s="81">
        <f>Fluxo_de_Caixa_Janeiro34[[#This Row],[Março]]</f>
        <v>13187.1</v>
      </c>
      <c r="F357" s="81"/>
      <c r="G357" s="81"/>
      <c r="H357" s="118"/>
      <c r="I357" s="81"/>
      <c r="J357" s="81"/>
      <c r="K357" s="81"/>
      <c r="L357" s="81"/>
      <c r="M357" s="81"/>
      <c r="N357" s="118"/>
      <c r="O357" s="243">
        <f>Fluxo_de_Caixa_Janeiro31020[[#This Row],[Março]]</f>
        <v>13187.1</v>
      </c>
      <c r="P357" s="28">
        <f t="shared" si="18"/>
        <v>3.0135359228262781E-2</v>
      </c>
      <c r="Q357" s="337"/>
      <c r="V357" s="537">
        <v>3367.99</v>
      </c>
      <c r="W357" s="573">
        <v>3.4260701109488485E-2</v>
      </c>
    </row>
    <row r="358" spans="2:23" x14ac:dyDescent="0.25">
      <c r="B358" s="47" t="str">
        <f>Fluxo_de_Caixa_Janeiro[[#This Row],[Fluxo de Caixa 2026 CTR]]</f>
        <v>4.9 - CONTA PERDA/ROUBO E BONIFICAÇÃO FILIAL</v>
      </c>
      <c r="C358" s="41">
        <f>Fluxo_de_Caixa_Janeiro[[#This Row],[Janeiro]]</f>
        <v>0</v>
      </c>
      <c r="D358" s="81">
        <f>Fluxo_de_Caixa_Janeiro3[[#This Row],[Fevereiro]]</f>
        <v>-29071.86</v>
      </c>
      <c r="E358" s="81">
        <f>Fluxo_de_Caixa_Janeiro34[[#This Row],[Março]]</f>
        <v>-29071.86</v>
      </c>
      <c r="F358" s="81"/>
      <c r="G358" s="81"/>
      <c r="H358" s="118"/>
      <c r="I358" s="81"/>
      <c r="J358" s="81"/>
      <c r="K358" s="81"/>
      <c r="L358" s="81"/>
      <c r="M358" s="81"/>
      <c r="N358" s="118"/>
      <c r="O358" s="243">
        <f>Fluxo_de_Caixa_Janeiro31020[[#This Row],[Março]]</f>
        <v>-29071.86</v>
      </c>
      <c r="P358" s="28">
        <f t="shared" si="18"/>
        <v>-6.6435451656070219E-2</v>
      </c>
      <c r="Q358" s="337"/>
      <c r="V358" s="537">
        <v>0</v>
      </c>
      <c r="W358" s="573">
        <v>0</v>
      </c>
    </row>
    <row r="359" spans="2:23" ht="15.75" thickBot="1" x14ac:dyDescent="0.3">
      <c r="B359" s="47" t="str">
        <f>Fluxo_de_Caixa_Janeiro[[#This Row],[Fluxo de Caixa 2026 CTR]]</f>
        <v>91.CARTÃO ENDERED 5099+4596+6933+8072 - ESCRITORIO</v>
      </c>
      <c r="C359" s="41">
        <f>Fluxo_de_Caixa_Janeiro[[#This Row],[Janeiro]]</f>
        <v>1362.74</v>
      </c>
      <c r="D359" s="81">
        <f>Fluxo_de_Caixa_Janeiro3[[#This Row],[Fevereiro]]</f>
        <v>1948.05</v>
      </c>
      <c r="E359" s="81">
        <f>Fluxo_de_Caixa_Janeiro34[[#This Row],[Março]]</f>
        <v>4229.6900000000005</v>
      </c>
      <c r="F359" s="81"/>
      <c r="G359" s="81"/>
      <c r="H359" s="118"/>
      <c r="I359" s="81"/>
      <c r="J359" s="81"/>
      <c r="K359" s="81"/>
      <c r="L359" s="81"/>
      <c r="M359" s="81"/>
      <c r="N359" s="118"/>
      <c r="O359" s="243">
        <f>Fluxo_de_Caixa_Janeiro31020[[#This Row],[Março]]</f>
        <v>4229.6900000000005</v>
      </c>
      <c r="P359" s="28">
        <f t="shared" si="18"/>
        <v>9.6657511942876608E-3</v>
      </c>
      <c r="Q359" s="337"/>
      <c r="V359" s="537">
        <v>3349.8399999999997</v>
      </c>
      <c r="W359" s="573">
        <v>3.4076071189228264E-2</v>
      </c>
    </row>
    <row r="360" spans="2:23" ht="15.75" hidden="1" thickBot="1" x14ac:dyDescent="0.3">
      <c r="B360" s="47">
        <f>Fluxo_de_Caixa_Janeiro[[#This Row],[Fluxo de Caixa 2026 CTR]]</f>
        <v>0</v>
      </c>
      <c r="C360" s="36">
        <f>Fluxo_de_Caixa_Janeiro[[#This Row],[Janeiro]]</f>
        <v>0</v>
      </c>
      <c r="D360" s="82">
        <f>Fluxo_de_Caixa_Janeiro3[[#This Row],[Fevereiro]]</f>
        <v>0</v>
      </c>
      <c r="E360" s="82">
        <f>Fluxo_de_Caixa_Janeiro34[[#This Row],[Março]]</f>
        <v>0</v>
      </c>
      <c r="F360" s="82"/>
      <c r="G360" s="82"/>
      <c r="H360" s="120"/>
      <c r="I360" s="36" t="e">
        <f>#REF!</f>
        <v>#REF!</v>
      </c>
      <c r="J360" s="82" t="e">
        <f>#REF!</f>
        <v>#REF!</v>
      </c>
      <c r="K360" s="82" t="e">
        <f>#REF!</f>
        <v>#REF!</v>
      </c>
      <c r="L360" s="82" t="e">
        <f>#REF!</f>
        <v>#REF!</v>
      </c>
      <c r="M360" s="82" t="e">
        <f>#REF!</f>
        <v>#REF!</v>
      </c>
      <c r="N360" s="120" t="e">
        <f>#REF!</f>
        <v>#REF!</v>
      </c>
      <c r="O360" s="243">
        <f>Fluxo_de_Caixa_Janeiro31020[[#This Row],[Março]]</f>
        <v>0</v>
      </c>
      <c r="P360" s="28">
        <f t="shared" ref="P360" si="19">IFERROR(O360/$O$336,"0,00%")</f>
        <v>0</v>
      </c>
      <c r="Q360" s="617"/>
      <c r="V360" s="629"/>
      <c r="W360" s="628"/>
    </row>
    <row r="361" spans="2:23" ht="24" thickBot="1" x14ac:dyDescent="0.4">
      <c r="B361" s="176"/>
      <c r="C361" s="164">
        <f>Fluxo_de_Caixa_Janeiro[[#This Row],[Janeiro]]</f>
        <v>-150.01000000001295</v>
      </c>
      <c r="D361" s="116">
        <f>Fluxo_de_Caixa_Janeiro3[[#This Row],[Fevereiro]]</f>
        <v>180.01000000016575</v>
      </c>
      <c r="E361" s="116">
        <f>Fluxo_de_Caixa_Janeiro34[[#This Row],[Março]]</f>
        <v>220.65999999997439</v>
      </c>
      <c r="F361" s="116"/>
      <c r="G361" s="116"/>
      <c r="H361" s="116"/>
      <c r="I361" s="164"/>
      <c r="J361" s="116"/>
      <c r="K361" s="116"/>
      <c r="L361" s="116"/>
      <c r="M361" s="116"/>
      <c r="N361" s="136"/>
      <c r="O361" s="245">
        <f>O336-O335</f>
        <v>250.66000000044005</v>
      </c>
      <c r="P361" s="255">
        <f t="shared" si="17"/>
        <v>5.7281200143849745E-4</v>
      </c>
      <c r="Q361" s="566"/>
      <c r="V361" s="610">
        <f>V336-V335</f>
        <v>6.8394001573324203E-10</v>
      </c>
      <c r="W361" s="611">
        <v>-0.25752079553420726</v>
      </c>
    </row>
    <row r="362" spans="2:23" x14ac:dyDescent="0.25"/>
    <row r="363" spans="2:23" x14ac:dyDescent="0.25"/>
    <row r="364" spans="2:23" x14ac:dyDescent="0.25"/>
    <row r="365" spans="2:23" x14ac:dyDescent="0.25"/>
    <row r="366" spans="2:23" x14ac:dyDescent="0.25"/>
    <row r="367" spans="2:23" x14ac:dyDescent="0.25"/>
    <row r="368" spans="2:23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20" x14ac:dyDescent="0.25"/>
    <row r="421" x14ac:dyDescent="0.25"/>
    <row r="422" x14ac:dyDescent="0.25"/>
    <row r="423" x14ac:dyDescent="0.25"/>
    <row r="424" x14ac:dyDescent="0.25"/>
  </sheetData>
  <protectedRanges>
    <protectedRange sqref="O326:O329 O311:O314 O276:O293" name="Despesas nao operacionais"/>
    <protectedRange sqref="O249:O255 O241:O247 O257:O260 O262:O271" name="Receita nao opercional"/>
    <protectedRange sqref="O23:O26" name="Bancos"/>
    <protectedRange sqref="O51 O29:O47" name="Total Receitas Operacionais  Vendas"/>
    <protectedRange sqref="O61:O63 O71:O72 O55:O59 O78:O84 O65:O69" name="Despesas Custo Aquisicao"/>
    <protectedRange sqref="O3:O22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60" name="Saldo Final de Banco_1"/>
    <protectedRange sqref="O89:O95" name="Despesas Operacionais_9"/>
    <protectedRange sqref="C326:H329 C311:H314 C276:H293" name="Despesas nao operacionais_4"/>
    <protectedRange sqref="C249:H255 C241:H247 C257:H260 C262:H271" name="Receita nao opercional_3"/>
    <protectedRange sqref="C23:H26" name="Bancos_1"/>
    <protectedRange sqref="C51:H51 C29:H47" name="Total Receitas Operacionais  Vendas_2"/>
    <protectedRange sqref="C61:H63 C71:H72 C55:H59 C78:H84 C65:H69" name="Despesas Custo Aquisicao_4"/>
    <protectedRange sqref="C3:H22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60" name="Saldo Final de Banco_1_1"/>
    <protectedRange sqref="C89:H95" name="Despesas Operacionais_9_1"/>
    <protectedRange sqref="I326:N329 I311:N314 I276:N293" name="Despesas nao operacionais_6"/>
    <protectedRange sqref="I249:N255 I241:N247 I257:N260 I262:N271" name="Receita nao opercional_5"/>
    <protectedRange sqref="I23:N26" name="Bancos_3"/>
    <protectedRange sqref="I51:N51 I29:N47" name="Total Receitas Operacionais  Vendas_4"/>
    <protectedRange sqref="I61:N63 I71:N72 I55:N59 I78:N84 I65:N69" name="Despesas Custo Aquisicao_6"/>
    <protectedRange sqref="I3:N22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60" name="Saldo Final de Banco_1_3"/>
    <protectedRange sqref="I89:N95" name="Despesas Operacionais_9_3"/>
  </protectedRanges>
  <conditionalFormatting sqref="C86:H86">
    <cfRule type="cellIs" dxfId="668" priority="29" operator="lessThan">
      <formula>0</formula>
    </cfRule>
  </conditionalFormatting>
  <conditionalFormatting sqref="C237:H237 C334:H334">
    <cfRule type="cellIs" dxfId="667" priority="35" operator="lessThan">
      <formula>0</formula>
    </cfRule>
    <cfRule type="cellIs" dxfId="666" priority="36" operator="greaterThan">
      <formula>0</formula>
    </cfRule>
  </conditionalFormatting>
  <conditionalFormatting sqref="C237:H237">
    <cfRule type="cellIs" dxfId="665" priority="32" operator="greaterThan">
      <formula>0</formula>
    </cfRule>
  </conditionalFormatting>
  <conditionalFormatting sqref="C335:H335">
    <cfRule type="cellIs" dxfId="664" priority="30" operator="lessThan">
      <formula>0</formula>
    </cfRule>
    <cfRule type="cellIs" dxfId="663" priority="31" operator="greaterThan">
      <formula>0.001</formula>
    </cfRule>
    <cfRule type="cellIs" dxfId="662" priority="33" operator="lessThan">
      <formula>0</formula>
    </cfRule>
    <cfRule type="cellIs" dxfId="661" priority="34" operator="greaterThan">
      <formula>0</formula>
    </cfRule>
    <cfRule type="aboveAverage" dxfId="660" priority="38" aboveAverage="0"/>
  </conditionalFormatting>
  <conditionalFormatting sqref="I86:N86">
    <cfRule type="cellIs" dxfId="659" priority="19" operator="lessThan">
      <formula>0</formula>
    </cfRule>
  </conditionalFormatting>
  <conditionalFormatting sqref="I237:N237 I334:N334">
    <cfRule type="cellIs" dxfId="658" priority="25" operator="lessThan">
      <formula>0</formula>
    </cfRule>
    <cfRule type="cellIs" dxfId="657" priority="26" operator="greaterThan">
      <formula>0</formula>
    </cfRule>
  </conditionalFormatting>
  <conditionalFormatting sqref="I237:N237">
    <cfRule type="cellIs" dxfId="656" priority="22" operator="greaterThan">
      <formula>0</formula>
    </cfRule>
  </conditionalFormatting>
  <conditionalFormatting sqref="I335:N335">
    <cfRule type="cellIs" dxfId="655" priority="23" operator="lessThan">
      <formula>0</formula>
    </cfRule>
    <cfRule type="cellIs" dxfId="654" priority="20" operator="lessThan">
      <formula>0</formula>
    </cfRule>
    <cfRule type="cellIs" dxfId="653" priority="21" operator="greaterThan">
      <formula>0.001</formula>
    </cfRule>
    <cfRule type="cellIs" dxfId="652" priority="24" operator="greaterThan">
      <formula>0</formula>
    </cfRule>
    <cfRule type="aboveAverage" dxfId="651" priority="28" aboveAverage="0"/>
  </conditionalFormatting>
  <conditionalFormatting sqref="O86">
    <cfRule type="cellIs" dxfId="650" priority="39" operator="lessThan">
      <formula>0</formula>
    </cfRule>
  </conditionalFormatting>
  <conditionalFormatting sqref="O237 O334">
    <cfRule type="cellIs" dxfId="649" priority="47" operator="greaterThan">
      <formula>0</formula>
    </cfRule>
  </conditionalFormatting>
  <conditionalFormatting sqref="O237">
    <cfRule type="cellIs" dxfId="648" priority="41" operator="greaterThan">
      <formula>0</formula>
    </cfRule>
    <cfRule type="cellIs" dxfId="647" priority="42" operator="lessThan">
      <formula>0</formula>
    </cfRule>
  </conditionalFormatting>
  <conditionalFormatting sqref="O334">
    <cfRule type="cellIs" dxfId="646" priority="46" operator="lessThan">
      <formula>0</formula>
    </cfRule>
  </conditionalFormatting>
  <conditionalFormatting sqref="O335">
    <cfRule type="cellIs" dxfId="645" priority="40" operator="greaterThan">
      <formula>0</formula>
    </cfRule>
    <cfRule type="aboveAverage" dxfId="644" priority="49" aboveAverage="0"/>
    <cfRule type="cellIs" dxfId="643" priority="45" operator="greaterThan">
      <formula>0</formula>
    </cfRule>
    <cfRule type="cellIs" dxfId="642" priority="44" operator="lessThan">
      <formula>0</formula>
    </cfRule>
  </conditionalFormatting>
  <conditionalFormatting sqref="P86">
    <cfRule type="cellIs" dxfId="641" priority="61" operator="lessThan">
      <formula>0</formula>
    </cfRule>
  </conditionalFormatting>
  <conditionalFormatting sqref="P237 P334">
    <cfRule type="cellIs" dxfId="640" priority="69" operator="greaterThan">
      <formula>0</formula>
    </cfRule>
  </conditionalFormatting>
  <conditionalFormatting sqref="P237">
    <cfRule type="cellIs" dxfId="639" priority="63" operator="greaterThan">
      <formula>0</formula>
    </cfRule>
    <cfRule type="cellIs" dxfId="638" priority="64" operator="lessThan">
      <formula>0</formula>
    </cfRule>
  </conditionalFormatting>
  <conditionalFormatting sqref="P334">
    <cfRule type="cellIs" dxfId="637" priority="68" operator="lessThan">
      <formula>0</formula>
    </cfRule>
  </conditionalFormatting>
  <conditionalFormatting sqref="P335">
    <cfRule type="cellIs" dxfId="636" priority="62" operator="greaterThan">
      <formula>0</formula>
    </cfRule>
    <cfRule type="cellIs" dxfId="635" priority="66" operator="lessThan">
      <formula>0</formula>
    </cfRule>
    <cfRule type="cellIs" dxfId="634" priority="67" operator="greaterThan">
      <formula>0</formula>
    </cfRule>
    <cfRule type="aboveAverage" dxfId="633" priority="71" aboveAverage="0"/>
  </conditionalFormatting>
  <conditionalFormatting sqref="Q86">
    <cfRule type="cellIs" dxfId="632" priority="50" operator="lessThan">
      <formula>0</formula>
    </cfRule>
  </conditionalFormatting>
  <conditionalFormatting sqref="Q237 Q334">
    <cfRule type="cellIs" dxfId="631" priority="58" operator="greaterThan">
      <formula>0</formula>
    </cfRule>
  </conditionalFormatting>
  <conditionalFormatting sqref="Q237">
    <cfRule type="cellIs" dxfId="630" priority="52" operator="greaterThan">
      <formula>0</formula>
    </cfRule>
    <cfRule type="cellIs" dxfId="629" priority="53" operator="lessThan">
      <formula>0</formula>
    </cfRule>
  </conditionalFormatting>
  <conditionalFormatting sqref="Q334">
    <cfRule type="cellIs" dxfId="628" priority="57" operator="lessThan">
      <formula>0</formula>
    </cfRule>
  </conditionalFormatting>
  <conditionalFormatting sqref="Q335">
    <cfRule type="cellIs" dxfId="627" priority="51" operator="greaterThan">
      <formula>0</formula>
    </cfRule>
    <cfRule type="cellIs" dxfId="626" priority="55" operator="lessThan">
      <formula>0</formula>
    </cfRule>
    <cfRule type="cellIs" dxfId="625" priority="56" operator="greaterThan">
      <formula>0</formula>
    </cfRule>
    <cfRule type="aboveAverage" dxfId="624" priority="60" aboveAverage="0"/>
  </conditionalFormatting>
  <conditionalFormatting sqref="R27:R335">
    <cfRule type="iconSet" priority="72">
      <iconSet iconSet="3Arrows">
        <cfvo type="percent" val="0"/>
        <cfvo type="percent" val="$R$27&lt;=0"/>
        <cfvo type="percent" val="$R$27&gt;=0"/>
      </iconSet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23" priority="74" operator="containsText" text="FALSO">
      <formula>NOT(ISERROR(SEARCH("FALSO",R27)))</formula>
    </cfRule>
    <cfRule type="containsText" dxfId="622" priority="75" operator="containsText" text="VERDADEIRO">
      <formula>NOT(ISERROR(SEARCH("VERDADEIRO",R27)))</formula>
    </cfRule>
    <cfRule type="iconSet" priority="76">
      <iconSet iconSet="3Arrows">
        <cfvo type="percent" val="0"/>
        <cfvo type="percent" val="0"/>
        <cfvo type="percent" val="0"/>
      </iconSet>
    </cfRule>
    <cfRule type="iconSet" priority="77">
      <iconSet>
        <cfvo type="percent" val="0"/>
        <cfvo type="percent" val="33"/>
        <cfvo type="percent" val="67"/>
      </iconSet>
    </cfRule>
  </conditionalFormatting>
  <conditionalFormatting sqref="V335">
    <cfRule type="aboveAverage" dxfId="621" priority="9" aboveAverage="0"/>
  </conditionalFormatting>
  <conditionalFormatting sqref="V86:W86">
    <cfRule type="cellIs" dxfId="620" priority="1" operator="lessThan">
      <formula>0</formula>
    </cfRule>
  </conditionalFormatting>
  <conditionalFormatting sqref="V237:W237 V334:W334">
    <cfRule type="cellIs" dxfId="619" priority="8" operator="greaterThan">
      <formula>0</formula>
    </cfRule>
  </conditionalFormatting>
  <conditionalFormatting sqref="V237:W237">
    <cfRule type="cellIs" dxfId="618" priority="3" operator="greaterThan">
      <formula>0</formula>
    </cfRule>
    <cfRule type="cellIs" dxfId="617" priority="4" operator="lessThan">
      <formula>0</formula>
    </cfRule>
  </conditionalFormatting>
  <conditionalFormatting sqref="V334:W334">
    <cfRule type="cellIs" dxfId="616" priority="7" operator="lessThan">
      <formula>0</formula>
    </cfRule>
  </conditionalFormatting>
  <conditionalFormatting sqref="V335:W335">
    <cfRule type="cellIs" dxfId="615" priority="2" operator="greaterThan">
      <formula>0</formula>
    </cfRule>
    <cfRule type="cellIs" dxfId="614" priority="6" operator="greaterThan">
      <formula>0</formula>
    </cfRule>
    <cfRule type="cellIs" dxfId="613" priority="5" operator="lessThan">
      <formula>0</formula>
    </cfRule>
  </conditionalFormatting>
  <conditionalFormatting sqref="W335">
    <cfRule type="aboveAverage" dxfId="612" priority="18" aboveAverage="0"/>
  </conditionalFormatting>
  <pageMargins left="0.23622047244094491" right="0.23622047244094491" top="0.74803149606299213" bottom="0.74803149606299213" header="0.31496062992125984" footer="0.31496062992125984"/>
  <pageSetup paperSize="9" scale="49" fitToWidth="3" fitToHeight="3" orientation="portrait" r:id="rId1"/>
  <colBreaks count="1" manualBreakCount="1">
    <brk id="17" max="360" man="1"/>
  </col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326" activePane="bottomRight" state="frozen"/>
      <selection pane="topRight" activeCell="B1" sqref="B1"/>
      <selection pane="bottomLeft" activeCell="A2" sqref="A2"/>
      <selection pane="bottomRight" activeCell="C336" sqref="C336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20.5703125" customWidth="1"/>
    <col min="8" max="8" width="24" style="246" bestFit="1" customWidth="1"/>
    <col min="9" max="9" width="21.710937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66" t="s">
        <v>151</v>
      </c>
      <c r="D1" s="467" t="s">
        <v>308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68" t="str">
        <f>Fluxo_de_Caixa_Janeiro[[#This Row],[Fluxo de Caixa 2026 CTR]]</f>
        <v>Disponíveis Nas Contas Movimento inicial</v>
      </c>
      <c r="C2" s="469">
        <f>SUBTOTAL(109,C3:C26)</f>
        <v>437595.5799999999</v>
      </c>
      <c r="D2" s="470">
        <f>SUM(D3:D26)</f>
        <v>1.0005042555502959</v>
      </c>
      <c r="E2" s="307"/>
      <c r="F2" s="31"/>
      <c r="H2" s="285"/>
    </row>
    <row r="3" spans="1:10" x14ac:dyDescent="0.25">
      <c r="B3" s="413" t="str">
        <f>Fluxo_de_Caixa_Janeiro[[#This Row],[Fluxo de Caixa 2026 CTR]]</f>
        <v>1.0 - TESOURARIA MATRIZ PALMAS</v>
      </c>
      <c r="C3" s="62">
        <f>MARÇO!C337</f>
        <v>850.58</v>
      </c>
      <c r="D3" s="414">
        <f>IF(C3=0,"0,00%",C3/$C$2)</f>
        <v>1.9437582070641578E-3</v>
      </c>
      <c r="E3" s="66"/>
      <c r="F3" s="31"/>
      <c r="G3">
        <v>1</v>
      </c>
    </row>
    <row r="4" spans="1:10" x14ac:dyDescent="0.25">
      <c r="B4" s="413" t="str">
        <f>Fluxo_de_Caixa_Janeiro[[#This Row],[Fluxo de Caixa 2026 CTR]]</f>
        <v>1.1 - BANCO DO BRASIL C.C.60409-7 MATRIZ</v>
      </c>
      <c r="C4" s="62">
        <f>MARÇO!C338</f>
        <v>36651.07</v>
      </c>
      <c r="D4" s="414">
        <f t="shared" ref="D4:D26" si="0">IF(C4=0,"0,00%",C4/$C$2)</f>
        <v>8.3755576324605494E-2</v>
      </c>
      <c r="E4" s="66"/>
      <c r="F4" s="31"/>
      <c r="G4">
        <v>2</v>
      </c>
    </row>
    <row r="5" spans="1:10" hidden="1" x14ac:dyDescent="0.25">
      <c r="B5" s="413">
        <f>Fluxo_de_Caixa_Janeiro[[#This Row],[Fluxo de Caixa 2026 CTR]]</f>
        <v>0</v>
      </c>
      <c r="C5" s="62">
        <f>MARÇO!C339</f>
        <v>0</v>
      </c>
      <c r="D5" s="414" t="str">
        <f t="shared" si="0"/>
        <v>0,00%</v>
      </c>
      <c r="E5" s="66"/>
      <c r="F5" s="31"/>
      <c r="G5">
        <v>3</v>
      </c>
    </row>
    <row r="6" spans="1:10" x14ac:dyDescent="0.25">
      <c r="B6" s="413" t="str">
        <f>Fluxo_de_Caixa_Janeiro[[#This Row],[Fluxo de Caixa 2026 CTR]]</f>
        <v>1.2-BRADESCO 15232-3 MATRIZ</v>
      </c>
      <c r="C6" s="62">
        <f>MARÇO!C340</f>
        <v>6785.01</v>
      </c>
      <c r="D6" s="414">
        <f t="shared" si="0"/>
        <v>1.550520688531635E-2</v>
      </c>
      <c r="E6" s="66"/>
      <c r="F6" s="31"/>
      <c r="G6">
        <v>4</v>
      </c>
    </row>
    <row r="7" spans="1:10" hidden="1" x14ac:dyDescent="0.25">
      <c r="B7" s="413">
        <f>Fluxo_de_Caixa_Janeiro[[#This Row],[Fluxo de Caixa 2026 CTR]]</f>
        <v>0</v>
      </c>
      <c r="C7" s="62">
        <f>MARÇO!C341</f>
        <v>0</v>
      </c>
      <c r="D7" s="414" t="str">
        <f t="shared" si="0"/>
        <v>0,00%</v>
      </c>
      <c r="E7" s="66"/>
      <c r="F7" s="31"/>
      <c r="G7">
        <v>5</v>
      </c>
    </row>
    <row r="8" spans="1:10" x14ac:dyDescent="0.25">
      <c r="B8" s="413" t="str">
        <f>Fluxo_de_Caixa_Janeiro[[#This Row],[Fluxo de Caixa 2026 CTR]]</f>
        <v>1.3 - BANCO STONE MATRIZ C.C 40256726-7</v>
      </c>
      <c r="C8" s="62">
        <f>MARÇO!C342</f>
        <v>0</v>
      </c>
      <c r="D8" s="414" t="str">
        <f t="shared" si="0"/>
        <v>0,00%</v>
      </c>
      <c r="E8" s="66"/>
      <c r="F8" s="31"/>
      <c r="G8">
        <v>6</v>
      </c>
    </row>
    <row r="9" spans="1:10" x14ac:dyDescent="0.25">
      <c r="B9" s="413" t="str">
        <f>Fluxo_de_Caixa_Janeiro[[#This Row],[Fluxo de Caixa 2026 CTR]]</f>
        <v>1.4 - BANCO DA AMAZONIA 071730-7 MATRIZ</v>
      </c>
      <c r="C9" s="62">
        <f>MARÇO!C343</f>
        <v>304243.92</v>
      </c>
      <c r="D9" s="414">
        <f t="shared" si="0"/>
        <v>0.69526278121913399</v>
      </c>
      <c r="E9" s="66"/>
      <c r="F9" s="31"/>
      <c r="G9">
        <v>7</v>
      </c>
    </row>
    <row r="10" spans="1:10" x14ac:dyDescent="0.25">
      <c r="B10" s="413" t="str">
        <f>Fluxo_de_Caixa_Janeiro[[#This Row],[Fluxo de Caixa 2026 CTR]]</f>
        <v>1.4.1.INVESTIMENTO CDBORE RCP TXFL</v>
      </c>
      <c r="C10" s="62">
        <f>MARÇO!C344</f>
        <v>0</v>
      </c>
      <c r="D10" s="414" t="str">
        <f t="shared" si="0"/>
        <v>0,00%</v>
      </c>
      <c r="E10" s="66"/>
      <c r="F10" s="31"/>
      <c r="G10">
        <v>8</v>
      </c>
    </row>
    <row r="11" spans="1:10" x14ac:dyDescent="0.25">
      <c r="B11" s="413" t="str">
        <f>Fluxo_de_Caixa_Janeiro[[#This Row],[Fluxo de Caixa 2026 CTR]]</f>
        <v>1.5 -  ITAU C.C.98671-6 MATRIZ</v>
      </c>
      <c r="C11" s="62">
        <f>MARÇO!C345</f>
        <v>95802.27</v>
      </c>
      <c r="D11" s="414">
        <f t="shared" si="0"/>
        <v>0.21892878808328006</v>
      </c>
      <c r="E11" s="66"/>
      <c r="F11" s="31"/>
      <c r="G11">
        <v>9</v>
      </c>
    </row>
    <row r="12" spans="1:10" x14ac:dyDescent="0.25">
      <c r="B12" s="413" t="str">
        <f>Fluxo_de_Caixa_Janeiro[[#This Row],[Fluxo de Caixa 2026 CTR]]</f>
        <v>1.5.03. ITAU C.C 83290-2 GARANTIDA</v>
      </c>
      <c r="C12" s="62">
        <f>MARÇO!C346</f>
        <v>0</v>
      </c>
      <c r="D12" s="414" t="str">
        <f t="shared" si="0"/>
        <v>0,00%</v>
      </c>
      <c r="E12" s="66"/>
      <c r="F12" s="31"/>
      <c r="G12">
        <v>10</v>
      </c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MARÇO!C347</f>
        <v>-20953.13</v>
      </c>
      <c r="D13" s="414">
        <f t="shared" si="0"/>
        <v>-4.788240777020647E-2</v>
      </c>
      <c r="E13" s="66"/>
      <c r="F13" s="31"/>
      <c r="G13">
        <v>11</v>
      </c>
    </row>
    <row r="14" spans="1:10" hidden="1" x14ac:dyDescent="0.25">
      <c r="B14" s="413">
        <f>Fluxo_de_Caixa_Janeiro[[#This Row],[Fluxo de Caixa 2026 CTR]]</f>
        <v>0</v>
      </c>
      <c r="C14" s="62">
        <f>MARÇO!C348</f>
        <v>0</v>
      </c>
      <c r="D14" s="414" t="str">
        <f t="shared" si="0"/>
        <v>0,00%</v>
      </c>
      <c r="E14" s="66"/>
      <c r="F14" s="31"/>
      <c r="G14">
        <v>12</v>
      </c>
      <c r="I14" s="287">
        <f>I20-H34-I34-J34</f>
        <v>-353624.95</v>
      </c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MARÇO!C349</f>
        <v>33375.699999999997</v>
      </c>
      <c r="D15" s="414">
        <f t="shared" si="0"/>
        <v>7.6270651545429238E-2</v>
      </c>
      <c r="E15" s="66"/>
      <c r="F15" s="31"/>
      <c r="G15">
        <v>13</v>
      </c>
    </row>
    <row r="16" spans="1:10" hidden="1" x14ac:dyDescent="0.25">
      <c r="B16" s="413">
        <f>Fluxo_de_Caixa_Janeiro[[#This Row],[Fluxo de Caixa 2026 CTR]]</f>
        <v>0</v>
      </c>
      <c r="C16" s="62">
        <f>MARÇO!C350</f>
        <v>0</v>
      </c>
      <c r="D16" s="414" t="str">
        <f t="shared" si="0"/>
        <v>0,00%</v>
      </c>
      <c r="E16" s="66"/>
      <c r="F16" s="31"/>
      <c r="G16">
        <v>14</v>
      </c>
    </row>
    <row r="17" spans="1:10" ht="15.75" hidden="1" thickBot="1" x14ac:dyDescent="0.3">
      <c r="B17" s="413">
        <f>Fluxo_de_Caixa_Janeiro[[#This Row],[Fluxo de Caixa 2026 CTR]]</f>
        <v>0</v>
      </c>
      <c r="C17" s="62">
        <f>MARÇO!C351</f>
        <v>0</v>
      </c>
      <c r="D17" s="414" t="str">
        <f t="shared" si="0"/>
        <v>0,00%</v>
      </c>
      <c r="E17" s="67"/>
      <c r="F17" s="31"/>
      <c r="G17">
        <v>15</v>
      </c>
      <c r="I17" s="246">
        <v>316630.68</v>
      </c>
    </row>
    <row r="18" spans="1:10" x14ac:dyDescent="0.25">
      <c r="B18" s="625" t="str">
        <f>Fluxo_de_Caixa_Janeiro[[#This Row],[Fluxo de Caixa 2026 CTR]]</f>
        <v>2.4 - ITAU C.C.98669-0 FILIAL PALMAS</v>
      </c>
      <c r="C18" s="62">
        <f>MARÇO!C352</f>
        <v>37.729999999999997</v>
      </c>
      <c r="D18" s="414">
        <f t="shared" si="0"/>
        <v>8.6221163385608252E-5</v>
      </c>
      <c r="E18" s="627" t="e">
        <f>#REF!</f>
        <v>#REF!</v>
      </c>
      <c r="F18" s="31"/>
      <c r="G18">
        <v>16</v>
      </c>
    </row>
    <row r="19" spans="1:10" x14ac:dyDescent="0.25">
      <c r="B19" s="625" t="str">
        <f>Fluxo_de_Caixa_Janeiro[[#This Row],[Fluxo de Caixa 2026 CTR]]</f>
        <v>2.9 - CONTA PERDA/ROUBO E BONIFICAÇÃO FILIAL</v>
      </c>
      <c r="C19" s="62">
        <f>MARÇO!C353</f>
        <v>-8598.58</v>
      </c>
      <c r="D19" s="414">
        <f t="shared" si="0"/>
        <v>-1.9649604321871812E-2</v>
      </c>
      <c r="E19" s="627" t="e">
        <f>#REF!</f>
        <v>#REF!</v>
      </c>
      <c r="F19" s="31"/>
      <c r="G19">
        <v>17</v>
      </c>
      <c r="I19" s="246"/>
    </row>
    <row r="20" spans="1:10" x14ac:dyDescent="0.25">
      <c r="B20" s="625" t="str">
        <f>Fluxo_de_Caixa_Janeiro[[#This Row],[Fluxo de Caixa 2026 CTR]]</f>
        <v>4.0 - TESOURARIA FILIAL PORTO</v>
      </c>
      <c r="C20" s="62">
        <f>MARÇO!C354</f>
        <v>534.16</v>
      </c>
      <c r="D20" s="414">
        <f t="shared" si="0"/>
        <v>1.2206704647245296E-3</v>
      </c>
      <c r="E20" s="627" t="e">
        <f>#REF!</f>
        <v>#REF!</v>
      </c>
      <c r="F20" s="31"/>
      <c r="G20">
        <v>18</v>
      </c>
      <c r="I20" s="287"/>
      <c r="J20" s="287"/>
    </row>
    <row r="21" spans="1:10" x14ac:dyDescent="0.25">
      <c r="B21" s="625" t="str">
        <f>Fluxo_de_Caixa_Janeiro[[#This Row],[Fluxo de Caixa 2026 CTR]]</f>
        <v>4.1 -  BANCO DO BRASIL C.C.61105-0 FILIAL PORTO</v>
      </c>
      <c r="C21" s="62">
        <f>MARÇO!C355</f>
        <v>521.91999999999996</v>
      </c>
      <c r="D21" s="414">
        <f t="shared" si="0"/>
        <v>1.1926994326588035E-3</v>
      </c>
      <c r="E21" s="627" t="e">
        <f>#REF!</f>
        <v>#REF!</v>
      </c>
      <c r="F21" s="31"/>
      <c r="G21">
        <v>19</v>
      </c>
      <c r="J21" s="287"/>
    </row>
    <row r="22" spans="1:10" hidden="1" x14ac:dyDescent="0.25">
      <c r="B22" s="625">
        <f>Fluxo_de_Caixa_Janeiro[[#This Row],[Fluxo de Caixa 2026 CTR]]</f>
        <v>0</v>
      </c>
      <c r="C22" s="62">
        <f>MARÇO!C356</f>
        <v>0</v>
      </c>
      <c r="D22" s="414" t="str">
        <f t="shared" si="0"/>
        <v>0,00%</v>
      </c>
      <c r="E22" s="627" t="e">
        <f>#REF!</f>
        <v>#REF!</v>
      </c>
      <c r="F22" s="31"/>
      <c r="G22">
        <v>20</v>
      </c>
    </row>
    <row r="23" spans="1:10" x14ac:dyDescent="0.25">
      <c r="B23" s="625" t="str">
        <f>Fluxo_de_Caixa_Janeiro[[#This Row],[Fluxo de Caixa 2026 CTR]]</f>
        <v>4.4 - MERCADO PAGO PIX FILIAL PORTO</v>
      </c>
      <c r="C23" s="62">
        <f>MARÇO!C357</f>
        <v>13187.1</v>
      </c>
      <c r="D23" s="414">
        <f t="shared" si="0"/>
        <v>3.0135359228262781E-2</v>
      </c>
      <c r="E23" s="627" t="e">
        <f>#REF!</f>
        <v>#REF!</v>
      </c>
      <c r="F23" s="31"/>
      <c r="G23">
        <v>21</v>
      </c>
      <c r="I23" s="246"/>
      <c r="J23" s="246"/>
    </row>
    <row r="24" spans="1:10" x14ac:dyDescent="0.25">
      <c r="B24" s="625" t="str">
        <f>Fluxo_de_Caixa_Janeiro[[#This Row],[Fluxo de Caixa 2026 CTR]]</f>
        <v>4.9 - CONTA PERDA/ROUBO E BONIFICAÇÃO FILIAL</v>
      </c>
      <c r="C24" s="62">
        <f>MARÇO!C358</f>
        <v>-29071.86</v>
      </c>
      <c r="D24" s="414">
        <f t="shared" si="0"/>
        <v>-6.6435451656070219E-2</v>
      </c>
      <c r="E24" s="627" t="e">
        <f>#REF!</f>
        <v>#REF!</v>
      </c>
      <c r="F24" s="31"/>
      <c r="G24">
        <v>22</v>
      </c>
    </row>
    <row r="25" spans="1:10" x14ac:dyDescent="0.25">
      <c r="B25" s="625" t="str">
        <f>Fluxo_de_Caixa_Janeiro[[#This Row],[Fluxo de Caixa 2026 CTR]]</f>
        <v>91.CARTÃO ENDERED 5099+4596+6933+8072 - ESCRITORIO</v>
      </c>
      <c r="C25" s="62">
        <f>MARÇO!C359</f>
        <v>4229.6900000000005</v>
      </c>
      <c r="D25" s="414">
        <f t="shared" si="0"/>
        <v>9.6657511942876608E-3</v>
      </c>
      <c r="E25" s="627" t="e">
        <f>#REF!</f>
        <v>#REF!</v>
      </c>
      <c r="F25" s="31"/>
      <c r="G25">
        <v>23</v>
      </c>
    </row>
    <row r="26" spans="1:10" hidden="1" x14ac:dyDescent="0.25">
      <c r="B26" s="625">
        <f>Fluxo_de_Caixa_Janeiro[[#This Row],[Fluxo de Caixa 2026 CTR]]</f>
        <v>0</v>
      </c>
      <c r="C26" s="62">
        <f>MARÇO!C361</f>
        <v>220.65999999997439</v>
      </c>
      <c r="D26" s="414">
        <f t="shared" si="0"/>
        <v>5.0425555029594781E-4</v>
      </c>
      <c r="E26" s="627" t="e">
        <f>#REF!</f>
        <v>#REF!</v>
      </c>
      <c r="F26" s="31"/>
      <c r="G26">
        <v>24</v>
      </c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1009247</v>
      </c>
      <c r="D27" s="416">
        <f>IFERROR(C27/C332,"")</f>
        <v>0.9989112651396006</v>
      </c>
      <c r="E27" s="308">
        <v>0.88526119449158447</v>
      </c>
      <c r="F27" s="32"/>
      <c r="H27" s="246">
        <f>H28+I28+J28</f>
        <v>1009247.0000000001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1009247</v>
      </c>
      <c r="D28" s="418">
        <f>SUM(D29:D47)</f>
        <v>0.9989112651396006</v>
      </c>
      <c r="E28" s="309">
        <v>0.88251932897796925</v>
      </c>
      <c r="F28" s="32"/>
      <c r="G28" s="638">
        <f>C361</f>
        <v>250.32000000018161</v>
      </c>
      <c r="H28" s="570">
        <f>SUM(H29:H36)</f>
        <v>46278.25</v>
      </c>
      <c r="I28" s="570">
        <f>SUM(I29:I36)</f>
        <v>606271.08000000007</v>
      </c>
      <c r="J28" s="570">
        <f>SUM(J29:J36)</f>
        <v>356697.67000000004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3589.3999999999996</v>
      </c>
      <c r="D29" s="420">
        <f t="shared" ref="D29:D47" si="1">IF(C29=0,"0,00%",C29/$C$332)</f>
        <v>3.552640825379795E-3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H29" s="246">
        <v>150</v>
      </c>
      <c r="I29" s="246">
        <v>3264.41</v>
      </c>
      <c r="J29" s="246">
        <v>174.99</v>
      </c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160565.41</v>
      </c>
      <c r="D30" s="420">
        <f t="shared" si="1"/>
        <v>0.1589210538557545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H30" s="246">
        <v>0</v>
      </c>
      <c r="I30" s="246">
        <v>89019.06</v>
      </c>
      <c r="J30" s="246">
        <v>71546.350000000006</v>
      </c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2"/>
        <v>19225.740000000002</v>
      </c>
      <c r="D31" s="420">
        <f t="shared" si="1"/>
        <v>1.9028848504523695E-2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>
        <v>19225.740000000002</v>
      </c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2"/>
        <v>30464</v>
      </c>
      <c r="D33" s="420">
        <f t="shared" si="1"/>
        <v>3.0152017079280682E-2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H33" s="246">
        <v>30464</v>
      </c>
      <c r="I33" s="246">
        <v>0</v>
      </c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2"/>
        <v>353624.95</v>
      </c>
      <c r="D34" s="420">
        <f t="shared" si="1"/>
        <v>0.35000346415637401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H34" s="246">
        <v>14934.25</v>
      </c>
      <c r="I34" s="246">
        <v>194961.89</v>
      </c>
      <c r="J34" s="246">
        <v>143728.81</v>
      </c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2"/>
        <v>441777.5</v>
      </c>
      <c r="D35" s="420">
        <f t="shared" si="1"/>
        <v>0.43725324071828786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H35" s="246">
        <v>730</v>
      </c>
      <c r="I35" s="246">
        <v>299799.98</v>
      </c>
      <c r="J35" s="246">
        <v>141247.51999999999</v>
      </c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25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-376222.97</v>
      </c>
      <c r="D52" s="424">
        <f>-IFERROR(C52/$C$27,"0,00")</f>
        <v>0.37277591114959963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-351026.56</v>
      </c>
      <c r="I52" s="570">
        <f>-SUBTOTAL(109,I53:I59)</f>
        <v>-25196.41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366608.48</v>
      </c>
      <c r="D53" s="426">
        <f>IFERROR(C53/$C$27,"0,00%")</f>
        <v>0.36324951176471171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H53" s="246">
        <v>341572.07</v>
      </c>
      <c r="I53" s="246">
        <v>25036.41</v>
      </c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>
        <f t="shared" ref="D54:D59" si="4">IFERROR(C54/$C$27,"0,00%")</f>
        <v>0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H54" s="246">
        <v>0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9614.49</v>
      </c>
      <c r="D55" s="426">
        <f t="shared" si="4"/>
        <v>9.5263993848879406E-3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H55" s="246">
        <v>9454.49</v>
      </c>
      <c r="I55" s="246">
        <v>160</v>
      </c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v>0</v>
      </c>
      <c r="D56" s="426">
        <f t="shared" si="4"/>
        <v>0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>
        <f t="shared" si="4"/>
        <v>0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25">
      <c r="B58" s="425">
        <f>Fluxo_de_Caixa_Janeiro[[#This Row],[Fluxo de Caixa 2026 CTR]]</f>
        <v>0</v>
      </c>
      <c r="C58" s="62"/>
      <c r="D58" s="426">
        <f t="shared" si="4"/>
        <v>0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>
        <f t="shared" si="4"/>
        <v>0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>
        <f t="shared" ref="D61:D69" si="5">IFERROR(C61/$C$27,"0,00%")</f>
        <v>0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>
        <f t="shared" si="5"/>
        <v>0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6"/>
        <v>0</v>
      </c>
      <c r="D63" s="426">
        <f t="shared" si="5"/>
        <v>0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>
        <f t="shared" si="5"/>
        <v>0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>
        <f t="shared" si="5"/>
        <v>0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25">
      <c r="B66" s="425">
        <f>Fluxo_de_Caixa_Janeiro[[#This Row],[Fluxo de Caixa 2026 CTR]]</f>
        <v>0</v>
      </c>
      <c r="C66" s="62">
        <f t="shared" si="6"/>
        <v>0</v>
      </c>
      <c r="D66" s="426">
        <f t="shared" si="5"/>
        <v>0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25">
      <c r="B67" s="425">
        <f>Fluxo_de_Caixa_Janeiro[[#This Row],[Fluxo de Caixa 2026 CTR]]</f>
        <v>0</v>
      </c>
      <c r="C67" s="62">
        <f t="shared" si="6"/>
        <v>0</v>
      </c>
      <c r="D67" s="426">
        <f t="shared" si="5"/>
        <v>0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25">
      <c r="B68" s="425">
        <f>Fluxo_de_Caixa_Janeiro[[#This Row],[Fluxo de Caixa 2026 CTR]]</f>
        <v>0</v>
      </c>
      <c r="C68" s="62">
        <f t="shared" si="6"/>
        <v>0</v>
      </c>
      <c r="D68" s="426">
        <f t="shared" si="5"/>
        <v>0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6"/>
        <v>0</v>
      </c>
      <c r="D69" s="426">
        <f t="shared" si="5"/>
        <v>0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-68045.709999999992</v>
      </c>
      <c r="D70" s="427">
        <f>-IFERROR(C70/$C$27,"0,00")</f>
        <v>6.7422256395114372E-2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-52996.45</v>
      </c>
      <c r="I70" s="570">
        <f>-SUBTOTAL(109,I71:I84)</f>
        <v>-8056.58</v>
      </c>
      <c r="J70" s="570">
        <f>-SUBTOTAL(109,J71:J84)</f>
        <v>-6992.68</v>
      </c>
    </row>
    <row r="71" spans="1:10" hidden="1" x14ac:dyDescent="0.25">
      <c r="B71" s="428">
        <f>Fluxo_de_Caixa_Janeiro[[#This Row],[Fluxo de Caixa 2026 CTR]]</f>
        <v>0</v>
      </c>
      <c r="C71" s="62"/>
      <c r="D71" s="426">
        <f t="shared" ref="D71:D84" si="7">IFERROR(C71/$C$27,"0,00%")</f>
        <v>0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>
        <f t="shared" si="7"/>
        <v>0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>
        <f t="shared" si="7"/>
        <v>0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>
        <f t="shared" si="7"/>
        <v>0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8"/>
        <v>0</v>
      </c>
      <c r="D75" s="426">
        <f t="shared" si="7"/>
        <v>0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>
        <v>0</v>
      </c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8"/>
        <v>31430.89</v>
      </c>
      <c r="D76" s="426">
        <f t="shared" si="7"/>
        <v>3.1142911497383692E-2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>
        <v>17074.560000000001</v>
      </c>
      <c r="I76" s="284">
        <v>8056.58</v>
      </c>
      <c r="J76" s="284">
        <v>6299.75</v>
      </c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8"/>
        <v>20032.789999999997</v>
      </c>
      <c r="D77" s="426">
        <f t="shared" si="7"/>
        <v>1.9849244040358798E-2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>
        <v>20000.939999999999</v>
      </c>
      <c r="I77" s="284">
        <v>0</v>
      </c>
      <c r="J77" s="284">
        <v>31.85</v>
      </c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>
        <f t="shared" si="7"/>
        <v>0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8"/>
        <v>839.78</v>
      </c>
      <c r="D79" s="426">
        <f t="shared" si="7"/>
        <v>8.3208570349973794E-4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>
        <v>839.78</v>
      </c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8"/>
        <v>0</v>
      </c>
      <c r="D80" s="426">
        <f t="shared" si="7"/>
        <v>0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8"/>
        <v>0</v>
      </c>
      <c r="D81" s="426">
        <f t="shared" si="7"/>
        <v>0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8"/>
        <v>15742.25</v>
      </c>
      <c r="D82" s="426">
        <f t="shared" si="7"/>
        <v>1.5598015153872144E-2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>
        <v>15081.17</v>
      </c>
      <c r="I82" s="284">
        <v>0</v>
      </c>
      <c r="J82" s="284">
        <v>661.08</v>
      </c>
    </row>
    <row r="83" spans="1:10" hidden="1" x14ac:dyDescent="0.25">
      <c r="B83" s="428">
        <f>Fluxo_de_Caixa_Janeiro[[#This Row],[Fluxo de Caixa 2026 CTR]]</f>
        <v>0</v>
      </c>
      <c r="C83" s="62"/>
      <c r="D83" s="426">
        <f t="shared" si="7"/>
        <v>0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>
        <f t="shared" si="7"/>
        <v>0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-444268.68</v>
      </c>
      <c r="D85" s="430">
        <f>IFERROR(C85/C27,"0,00%")</f>
        <v>-0.44019816754471403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-404023.01</v>
      </c>
      <c r="I85" s="570">
        <f>-SUBTOTAL(109,I52:I84)</f>
        <v>-33252.99</v>
      </c>
      <c r="J85" s="570">
        <f>-SUBTOTAL(109,J52:J84)</f>
        <v>-6992.68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564978.32000000007</v>
      </c>
      <c r="D86" s="432">
        <f>IFERROR(C86/C27,"0,00%")</f>
        <v>0.55980183245528603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-41738.280000000006</v>
      </c>
      <c r="D88" s="436">
        <f>-IFERROR(C88/$C$27,"0,00")</f>
        <v>4.1355862340933393E-2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-35734.22</v>
      </c>
      <c r="I88" s="570">
        <f>-SUBTOTAL(109,I89:I99)</f>
        <v>-2347.2199999999998</v>
      </c>
      <c r="J88" s="570">
        <f>-SUBTOTAL(109,J89:J99)</f>
        <v>-3656.84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2715</v>
      </c>
      <c r="D89" s="438">
        <f>IFERROR(C89/$C$27,"0,00%")</f>
        <v>2.6901244194929485E-3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H89" s="246">
        <v>2715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8" si="9">H90+I90+J90</f>
        <v>4614.57</v>
      </c>
      <c r="D90" s="438">
        <f t="shared" ref="D90:D99" si="10">IFERROR(C90/$C$27,"0,00%")</f>
        <v>4.5722900340550926E-3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H90" s="246">
        <v>4614.57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9"/>
        <v>412.82</v>
      </c>
      <c r="D91" s="438">
        <f t="shared" si="10"/>
        <v>4.0903762904422801E-4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H91" s="246">
        <v>412.82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>
        <f t="shared" si="10"/>
        <v>0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9"/>
        <v>22420.65</v>
      </c>
      <c r="D93" s="438">
        <f t="shared" si="10"/>
        <v>2.2215225806963015E-2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H93" s="246">
        <v>22420.65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>H94+I94+J94</f>
        <v>4269.79</v>
      </c>
      <c r="D94" s="438">
        <f t="shared" si="10"/>
        <v>4.2306690037225772E-3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H94" s="246">
        <v>4269.79</v>
      </c>
      <c r="I94" s="246"/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>H95+I95+J95</f>
        <v>7272.91</v>
      </c>
      <c r="D95" s="438">
        <f t="shared" si="10"/>
        <v>7.2062735881305564E-3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H95" s="246">
        <v>1301.3900000000001</v>
      </c>
      <c r="I95" s="246">
        <v>2315.4499999999998</v>
      </c>
      <c r="J95" s="246">
        <v>3656.07</v>
      </c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>
        <f t="shared" si="10"/>
        <v>0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>
        <f t="shared" si="10"/>
        <v>0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>
        <f t="shared" si="9"/>
        <v>32.54</v>
      </c>
      <c r="D98" s="438">
        <f t="shared" si="10"/>
        <v>3.2241859524972577E-5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>
        <v>31.77</v>
      </c>
      <c r="J98" s="246">
        <v>0.77</v>
      </c>
    </row>
    <row r="99" spans="1:10" hidden="1" x14ac:dyDescent="0.25">
      <c r="B99" s="437">
        <f>Fluxo_de_Caixa_Janeiro[[#This Row],[Fluxo de Caixa 2026 CTR]]</f>
        <v>0</v>
      </c>
      <c r="C99" s="62"/>
      <c r="D99" s="438">
        <f t="shared" si="10"/>
        <v>0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-84685.599999999991</v>
      </c>
      <c r="D100" s="436">
        <f>-IFERROR(C100/$C$27,"0,00")</f>
        <v>8.3909687123172025E-2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-83243.87999999999</v>
      </c>
      <c r="I100" s="570">
        <f>-SUBTOTAL(109,I101:I130)</f>
        <v>-1441.72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35339.78</v>
      </c>
      <c r="D101" s="438">
        <f t="shared" ref="D101:D130" si="11">IFERROR(C101/$C$27,"0,00%")</f>
        <v>3.5015987166669801E-2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H101" s="246">
        <v>35339.78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1900</v>
      </c>
      <c r="D102" s="438">
        <f t="shared" si="11"/>
        <v>1.882591674783279E-3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H102" s="246">
        <v>1900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2"/>
        <v>1070.8900000000001</v>
      </c>
      <c r="D103" s="438">
        <f t="shared" si="11"/>
        <v>1.0610782097940346E-3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H103" s="246">
        <v>1035.8900000000001</v>
      </c>
      <c r="I103" s="246">
        <v>35</v>
      </c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>
        <f t="shared" si="11"/>
        <v>0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2"/>
        <v>445.17</v>
      </c>
      <c r="D105" s="438">
        <f t="shared" si="11"/>
        <v>4.4109122940172229E-4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H105" s="246">
        <v>445.17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2"/>
        <v>10852.63</v>
      </c>
      <c r="D106" s="438">
        <f t="shared" si="11"/>
        <v>1.0753195203949082E-2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H106" s="246">
        <v>10640.91</v>
      </c>
      <c r="I106" s="246">
        <v>211.72</v>
      </c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2"/>
        <v>1050</v>
      </c>
      <c r="D107" s="438">
        <f t="shared" si="11"/>
        <v>1.0403796097486543E-3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H107" s="246">
        <v>1050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2"/>
        <v>5060</v>
      </c>
      <c r="D108" s="438">
        <f t="shared" si="11"/>
        <v>5.0136388812649429E-3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H108" s="246">
        <v>5060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>
        <f t="shared" si="11"/>
        <v>0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2"/>
        <v>0</v>
      </c>
      <c r="D110" s="438">
        <f t="shared" si="11"/>
        <v>0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>
        <f t="shared" si="11"/>
        <v>0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2"/>
        <v>0</v>
      </c>
      <c r="D112" s="438">
        <f t="shared" si="11"/>
        <v>0</v>
      </c>
      <c r="E112" s="317">
        <v>3.00036758032117</v>
      </c>
      <c r="F112"/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2"/>
        <v>2588.12</v>
      </c>
      <c r="D113" s="438">
        <f t="shared" si="11"/>
        <v>2.5644069291263683E-3</v>
      </c>
      <c r="E113" s="317">
        <v>4.0003675803211696</v>
      </c>
      <c r="F113"/>
      <c r="H113" s="246">
        <v>2588.12</v>
      </c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2"/>
        <v>13320.75</v>
      </c>
      <c r="D114" s="438">
        <f t="shared" si="11"/>
        <v>1.3198701606247034E-2</v>
      </c>
      <c r="E114" s="317">
        <v>5.0003675803211696</v>
      </c>
      <c r="F114"/>
      <c r="H114" s="284">
        <v>13210.75</v>
      </c>
      <c r="I114" s="284">
        <v>110</v>
      </c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2"/>
        <v>176</v>
      </c>
      <c r="D115" s="438">
        <f t="shared" si="11"/>
        <v>1.7438743934834584E-4</v>
      </c>
      <c r="E115" s="317">
        <v>6.0003675803211696</v>
      </c>
      <c r="F115"/>
      <c r="H115" s="246">
        <v>176</v>
      </c>
      <c r="I115" s="246"/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>
        <f t="shared" si="11"/>
        <v>0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>
        <f t="shared" si="11"/>
        <v>0</v>
      </c>
      <c r="E117" s="317">
        <v>8.0003675803211696</v>
      </c>
      <c r="F117"/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2"/>
        <v>2186</v>
      </c>
      <c r="D118" s="438">
        <f>IFERROR(C118/$C$27,"0,00%")</f>
        <v>2.165971263724341E-3</v>
      </c>
      <c r="E118" s="317">
        <v>9.0003675803211696</v>
      </c>
      <c r="F118"/>
      <c r="H118" s="246">
        <v>1101</v>
      </c>
      <c r="I118" s="246">
        <v>1085</v>
      </c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2"/>
        <v>0</v>
      </c>
      <c r="D119" s="438">
        <f t="shared" si="11"/>
        <v>0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2"/>
        <v>10065.5</v>
      </c>
      <c r="D120" s="438">
        <f t="shared" si="11"/>
        <v>9.9732771065953133E-3</v>
      </c>
      <c r="E120" s="317" t="e">
        <f>#REF!</f>
        <v>#REF!</v>
      </c>
      <c r="F120"/>
      <c r="H120" s="246">
        <v>10065.5</v>
      </c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2"/>
        <v>630.76</v>
      </c>
      <c r="D121" s="438">
        <f t="shared" si="11"/>
        <v>6.2498080251910577E-4</v>
      </c>
      <c r="E121" s="317" t="e">
        <f>#REF!</f>
        <v>#REF!</v>
      </c>
      <c r="F121"/>
      <c r="H121" s="246">
        <v>630.76</v>
      </c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>
        <f t="shared" si="11"/>
        <v>0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>
        <f t="shared" si="11"/>
        <v>0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>
        <f t="shared" si="11"/>
        <v>0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>
        <f t="shared" si="11"/>
        <v>0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>
        <f t="shared" si="11"/>
        <v>0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>
        <f t="shared" si="11"/>
        <v>0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>
        <f t="shared" si="11"/>
        <v>0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>
        <f t="shared" si="11"/>
        <v>0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>
        <f t="shared" si="11"/>
        <v>0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-5481.52</v>
      </c>
      <c r="D131" s="436">
        <f>-IFERROR(C131/$C$27,"0,00")</f>
        <v>5.4312967985042319E-3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-4730.4699999999993</v>
      </c>
      <c r="I131" s="570">
        <f>-SUBTOTAL(109,I132:I144)</f>
        <v>-423.5</v>
      </c>
      <c r="J131" s="570">
        <f>-SUBTOTAL(109,J132:J144)</f>
        <v>-327.55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200</v>
      </c>
      <c r="D132" s="438">
        <f t="shared" ref="D132:D144" si="13">IFERROR(C132/$C$27,"0,00%")</f>
        <v>1.9816754471402938E-4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H132" s="246">
        <v>200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4">H133+I133+J133</f>
        <v>0</v>
      </c>
      <c r="D133" s="438">
        <f t="shared" si="13"/>
        <v>0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4"/>
        <v>1800</v>
      </c>
      <c r="D134" s="438">
        <f t="shared" si="13"/>
        <v>1.7835079024262643E-3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H134" s="246">
        <v>1800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4"/>
        <v>3481.52</v>
      </c>
      <c r="D135" s="438">
        <f t="shared" si="13"/>
        <v>3.4496213513639374E-3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H135" s="246">
        <v>2730.47</v>
      </c>
      <c r="I135" s="246">
        <v>423.5</v>
      </c>
      <c r="J135" s="246">
        <v>327.55</v>
      </c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>
        <f t="shared" si="13"/>
        <v>0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>
        <f t="shared" si="13"/>
        <v>0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>
        <f t="shared" si="13"/>
        <v>0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>
        <f t="shared" si="13"/>
        <v>0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25">
      <c r="B140" s="437" t="str">
        <f>Fluxo_de_Caixa_Janeiro[[#This Row],[Fluxo de Caixa 2026 CTR]]</f>
        <v>3.3.09. Viagens e Estadias - CPD</v>
      </c>
      <c r="C140" s="62"/>
      <c r="D140" s="438">
        <f t="shared" si="13"/>
        <v>0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>
        <f t="shared" si="13"/>
        <v>0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>
        <f t="shared" si="13"/>
        <v>0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>
        <f t="shared" si="13"/>
        <v>0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>
        <f t="shared" si="13"/>
        <v>0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-29145.360000000001</v>
      </c>
      <c r="D145" s="436">
        <f>-IFERROR(C145/$C$27,"0,00")</f>
        <v>2.8878322155032415E-2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-28198.980000000003</v>
      </c>
      <c r="I145" s="570">
        <f>-SUBTOTAL(109,I146:I166)</f>
        <v>-946.38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1427.26</v>
      </c>
      <c r="D146" s="438">
        <f t="shared" ref="D146:D166" si="15">IFERROR(C146/$C$27,"0,00%")</f>
        <v>1.4141830493427279E-3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H146" s="246">
        <v>778.28</v>
      </c>
      <c r="I146" s="246">
        <v>648.98</v>
      </c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>H147+I147+J147</f>
        <v>1836.15</v>
      </c>
      <c r="D147" s="438">
        <f t="shared" si="15"/>
        <v>1.8193266861333253E-3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H147" s="246">
        <v>1836.15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ref="C148:C150" si="16">H149+I148+J148</f>
        <v>0</v>
      </c>
      <c r="D148" s="438">
        <f t="shared" si="15"/>
        <v>0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6"/>
        <v>0</v>
      </c>
      <c r="D149" s="438">
        <f t="shared" si="15"/>
        <v>0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6"/>
        <v>441.4</v>
      </c>
      <c r="D150" s="438">
        <f t="shared" si="15"/>
        <v>4.3735577118386281E-4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ref="C151:C165" si="17">H151+I151+J151</f>
        <v>738.8</v>
      </c>
      <c r="D151" s="438">
        <f t="shared" si="15"/>
        <v>7.3203091017362445E-4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H151" s="246">
        <v>441.4</v>
      </c>
      <c r="I151" s="246">
        <v>297.39999999999998</v>
      </c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7"/>
        <v>2465</v>
      </c>
      <c r="D152" s="438">
        <f t="shared" si="15"/>
        <v>2.442414988600412E-3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H152" s="246">
        <v>2465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7"/>
        <v>2600</v>
      </c>
      <c r="D153" s="438">
        <f t="shared" si="15"/>
        <v>2.576178081282382E-3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H153" s="246">
        <v>2600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7"/>
        <v>5642</v>
      </c>
      <c r="D154" s="438">
        <f t="shared" si="15"/>
        <v>5.5903064363827682E-3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H154" s="246">
        <v>5642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7"/>
        <v>88.64</v>
      </c>
      <c r="D155" s="438">
        <f t="shared" si="15"/>
        <v>8.7827855817257811E-5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H155" s="246">
        <v>88.64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>
        <f t="shared" si="15"/>
        <v>0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>
        <f t="shared" si="15"/>
        <v>0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7"/>
        <v>601</v>
      </c>
      <c r="D158" s="438">
        <f t="shared" si="15"/>
        <v>5.9549347186565831E-4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H158" s="246">
        <v>601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7"/>
        <v>794.25</v>
      </c>
      <c r="D159" s="438">
        <f t="shared" si="15"/>
        <v>7.8697286194558916E-4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H159" s="246">
        <v>794.25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>
        <f t="shared" si="15"/>
        <v>0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7"/>
        <v>17831</v>
      </c>
      <c r="D161" s="438">
        <f t="shared" si="15"/>
        <v>1.7667627448979289E-2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H161" s="246">
        <v>17831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>
        <f t="shared" si="15"/>
        <v>0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7"/>
        <v>-4878.74</v>
      </c>
      <c r="D163" s="438">
        <f t="shared" si="15"/>
        <v>-4.8340396354906176E-3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H163" s="246">
        <v>-4878.74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>
        <f t="shared" si="15"/>
        <v>0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>
        <f t="shared" si="15"/>
        <v>0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>
        <f t="shared" si="15"/>
        <v>0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-30223.229999999996</v>
      </c>
      <c r="D167" s="436">
        <f>-IFERROR(C167/$C$27,"0,00")</f>
        <v>2.9946316412136964E-2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-28009.78</v>
      </c>
      <c r="I167" s="570">
        <f>-SUBTOTAL(109,I168:I181)</f>
        <v>-2213.4499999999998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258.52</v>
      </c>
      <c r="D168" s="438">
        <f t="shared" ref="D168:D181" si="18">IFERROR(C168/$C$27,"0,00%")</f>
        <v>2.5615136829735435E-4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H168" s="246">
        <v>258.52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4410.7</v>
      </c>
      <c r="D169" s="438">
        <f t="shared" si="18"/>
        <v>4.3702879473508467E-3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H169" s="246">
        <v>2197.25</v>
      </c>
      <c r="I169" s="246">
        <v>2213.4499999999998</v>
      </c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9"/>
        <v>928.7</v>
      </c>
      <c r="D170" s="438">
        <f t="shared" si="18"/>
        <v>9.2019099387959547E-4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>
        <v>928.7</v>
      </c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9"/>
        <v>483.21</v>
      </c>
      <c r="D171" s="438">
        <f t="shared" si="18"/>
        <v>4.7878269640633063E-4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H171" s="246">
        <v>483.21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9"/>
        <v>14000</v>
      </c>
      <c r="D172" s="438">
        <f t="shared" si="18"/>
        <v>1.3871728129982056E-2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H172" s="246">
        <v>14000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>
        <f t="shared" si="18"/>
        <v>0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9"/>
        <v>1142.0999999999999</v>
      </c>
      <c r="D174" s="438">
        <f t="shared" si="18"/>
        <v>1.1316357640894646E-3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H174" s="246">
        <v>1142.0999999999999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9"/>
        <v>0</v>
      </c>
      <c r="D175" s="438">
        <f t="shared" si="18"/>
        <v>0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>
        <f t="shared" si="18"/>
        <v>0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9"/>
        <v>9000</v>
      </c>
      <c r="D177" s="438">
        <f t="shared" si="18"/>
        <v>8.9175395121313221E-3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H177" s="246">
        <v>9000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>
        <f t="shared" si="18"/>
        <v>0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>
        <f t="shared" si="18"/>
        <v>0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>
        <f t="shared" si="18"/>
        <v>0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>
        <f t="shared" si="18"/>
        <v>0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-23958.309999999998</v>
      </c>
      <c r="D182" s="436">
        <f>-IFERROR(C182/$C$27,"0,00")</f>
        <v>2.3738797340987883E-2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-23824.43</v>
      </c>
      <c r="I182" s="570">
        <f>-SUBTOTAL(109,I183:I199)</f>
        <v>-124.9</v>
      </c>
      <c r="J182" s="570">
        <f>-SUBTOTAL(109,J183:J199)</f>
        <v>-8.98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1650.93</v>
      </c>
      <c r="D183" s="438">
        <f t="shared" ref="D183:D199" si="20">IFERROR(C183/$C$27,"0,00%")</f>
        <v>1.6358037229736626E-3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H183" s="246">
        <v>1517.05</v>
      </c>
      <c r="I183" s="246">
        <v>124.9</v>
      </c>
      <c r="J183" s="246">
        <v>8.98</v>
      </c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1">H184+I184+J184</f>
        <v>434.42</v>
      </c>
      <c r="D184" s="438">
        <f t="shared" si="20"/>
        <v>4.3043972387334323E-4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H184" s="246">
        <v>434.42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>
        <f t="shared" si="20"/>
        <v>0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1"/>
        <v>0</v>
      </c>
      <c r="D186" s="438">
        <f t="shared" si="20"/>
        <v>0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>
        <f t="shared" si="20"/>
        <v>0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1"/>
        <v>0</v>
      </c>
      <c r="D188" s="438">
        <f t="shared" si="20"/>
        <v>0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1"/>
        <v>0</v>
      </c>
      <c r="D189" s="438">
        <f t="shared" si="20"/>
        <v>0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1"/>
        <v>21872.959999999999</v>
      </c>
      <c r="D190" s="438">
        <f t="shared" si="20"/>
        <v>2.167255389414088E-2</v>
      </c>
      <c r="E190" s="317">
        <v>-6</v>
      </c>
      <c r="F190"/>
      <c r="H190" s="246">
        <v>21872.959999999999</v>
      </c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>
        <f t="shared" si="20"/>
        <v>0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1"/>
        <v>0</v>
      </c>
      <c r="D192" s="438">
        <f t="shared" si="20"/>
        <v>0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1"/>
        <v>0</v>
      </c>
      <c r="D193" s="438">
        <f t="shared" si="20"/>
        <v>0</v>
      </c>
      <c r="E193" s="317">
        <v>-3</v>
      </c>
      <c r="F193"/>
      <c r="I193" s="246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>
        <f t="shared" si="20"/>
        <v>0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1"/>
        <v>0</v>
      </c>
      <c r="D195" s="438">
        <f t="shared" si="20"/>
        <v>0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>
        <f t="shared" si="20"/>
        <v>0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>
        <f t="shared" si="20"/>
        <v>0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>
        <f t="shared" si="20"/>
        <v>0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>
        <f t="shared" si="20"/>
        <v>0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-12626.79</v>
      </c>
      <c r="D200" s="436">
        <f>-IFERROR(C200/$C$27,"0,00")</f>
        <v>1.2511099859598295E-2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-11494.830000000002</v>
      </c>
      <c r="I200" s="570">
        <f>-SUBTOTAL(109,I201:I211)</f>
        <v>-1131.96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3694.4700000000003</v>
      </c>
      <c r="D201" s="438">
        <f t="shared" ref="D201:D211" si="22">IFERROR(C201/$C$27,"0,00%")</f>
        <v>3.6606202445982005E-3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H201" s="246">
        <v>2562.5100000000002</v>
      </c>
      <c r="I201" s="246">
        <v>1131.96</v>
      </c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70</v>
      </c>
      <c r="D202" s="438">
        <f t="shared" si="22"/>
        <v>6.9358640649910274E-5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H202" s="246">
        <v>70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>
        <f t="shared" si="22"/>
        <v>0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3"/>
        <v>124.96</v>
      </c>
      <c r="D204" s="438">
        <f t="shared" si="22"/>
        <v>1.2381508193732554E-4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H204" s="246">
        <v>124.96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>
        <f t="shared" si="22"/>
        <v>0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3"/>
        <v>8617.36</v>
      </c>
      <c r="D206" s="438">
        <f t="shared" si="22"/>
        <v>8.5384053655844418E-3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H206" s="246">
        <v>8617.36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3"/>
        <v>120</v>
      </c>
      <c r="D207" s="438">
        <f t="shared" si="22"/>
        <v>1.1890052682841762E-4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H207" s="246">
        <v>120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3"/>
        <v>0</v>
      </c>
      <c r="D208" s="438">
        <f t="shared" si="22"/>
        <v>0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>
        <f t="shared" si="22"/>
        <v>0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>
        <f t="shared" si="22"/>
        <v>0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>
        <f t="shared" si="22"/>
        <v>0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>
        <f t="shared" ref="D213:D230" si="24">IFERROR(C213/$C$27,"0,00%")</f>
        <v>0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>
        <f t="shared" si="24"/>
        <v>0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>
        <f t="shared" si="24"/>
        <v>0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5">H216+I216+J216</f>
        <v>0</v>
      </c>
      <c r="D216" s="438">
        <f t="shared" si="24"/>
        <v>0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5"/>
        <v>0</v>
      </c>
      <c r="D217" s="438">
        <f t="shared" si="24"/>
        <v>0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5"/>
        <v>0</v>
      </c>
      <c r="D218" s="438">
        <f t="shared" si="24"/>
        <v>0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5"/>
        <v>0</v>
      </c>
      <c r="D219" s="438">
        <f t="shared" si="24"/>
        <v>0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>
        <f t="shared" si="24"/>
        <v>0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>
        <f t="shared" si="24"/>
        <v>0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>
        <f t="shared" si="24"/>
        <v>0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>
        <f t="shared" si="24"/>
        <v>0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>
        <f t="shared" si="24"/>
        <v>0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>
        <f t="shared" si="24"/>
        <v>0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5"/>
        <v>0</v>
      </c>
      <c r="D226" s="438">
        <f t="shared" si="24"/>
        <v>0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5"/>
        <v>0</v>
      </c>
      <c r="D227" s="438">
        <f t="shared" si="24"/>
        <v>0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5"/>
        <v>0</v>
      </c>
      <c r="D228" s="438">
        <f t="shared" si="24"/>
        <v>0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>
        <f t="shared" si="24"/>
        <v>0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>
        <f t="shared" si="24"/>
        <v>0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-300</v>
      </c>
      <c r="D231" s="436">
        <f>-IFERROR(C231/$C$27,"0,00")</f>
        <v>2.9725131707104407E-4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-300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300</v>
      </c>
      <c r="D232" s="438">
        <f t="shared" ref="D232:D237" si="26">IFERROR(C232/$C$27,"0,00%")</f>
        <v>2.9725131707104407E-4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H232" s="246">
        <v>300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>
        <f t="shared" si="26"/>
        <v>0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>
        <f t="shared" si="26"/>
        <v>0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>
        <f t="shared" si="26"/>
        <v>0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-228159.09000000003</v>
      </c>
      <c r="D236" s="441">
        <f t="shared" si="26"/>
        <v>-0.22606863334743629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-215536.58999999997</v>
      </c>
      <c r="I236" s="570">
        <f>-SUBTOTAL(109,I88:I235)</f>
        <v>-8629.1299999999992</v>
      </c>
      <c r="J236" s="570">
        <f>-SUBTOTAL(109,J88:J235)</f>
        <v>-3993.3700000000003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336819.23000000004</v>
      </c>
      <c r="D237" s="443">
        <f t="shared" si="26"/>
        <v>0.33373319910784977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1100</v>
      </c>
      <c r="D238" s="445">
        <f>SUM(D239,D248,D261)</f>
        <v>1.0887348603994468E-3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1100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7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7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550</v>
      </c>
      <c r="D248" s="418">
        <f t="shared" si="27"/>
        <v>5.4436743019972342E-4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550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9"/>
        <v>550</v>
      </c>
      <c r="D254" s="420">
        <f t="shared" si="27"/>
        <v>5.4436743019972342E-4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H254" s="246">
        <v>550</v>
      </c>
      <c r="I254" s="246"/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550</v>
      </c>
      <c r="D261" s="418">
        <f t="shared" si="27"/>
        <v>5.4436743019972342E-4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550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25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30"/>
        <v>0</v>
      </c>
      <c r="D268" s="420" t="str">
        <f t="shared" si="27"/>
        <v>0,00%</v>
      </c>
      <c r="E268" s="325" t="e">
        <f>#REF!</f>
        <v>#REF!</v>
      </c>
      <c r="F268"/>
      <c r="I268" s="246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30"/>
        <v>0</v>
      </c>
      <c r="D269" s="420" t="str">
        <f t="shared" si="27"/>
        <v>0,00%</v>
      </c>
      <c r="E269" s="325" t="e">
        <f>#REF!</f>
        <v>#REF!</v>
      </c>
      <c r="F269"/>
      <c r="I269" s="246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30"/>
        <v>550</v>
      </c>
      <c r="D270" s="420">
        <f t="shared" si="27"/>
        <v>5.4436743019972342E-4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H270" s="246">
        <v>550</v>
      </c>
      <c r="I270" s="246"/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-18250.93</v>
      </c>
      <c r="D273" s="436">
        <f>-IFERROR(C273/$C$332,"0,00")</f>
        <v>1.8064021568827342E-2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-18250.93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18250.93</v>
      </c>
      <c r="D274" s="450">
        <f t="shared" ref="D274:D293" si="31">IFERROR(C274/$C$332,"0,00%")</f>
        <v>1.8064021568827342E-2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H274" s="246">
        <v>18250.93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>
        <f t="shared" si="31"/>
        <v>0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>
        <f t="shared" si="31"/>
        <v>0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2"/>
        <v>0</v>
      </c>
      <c r="D277" s="450">
        <f t="shared" si="31"/>
        <v>0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>
        <f t="shared" si="31"/>
        <v>0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>
        <f t="shared" si="31"/>
        <v>0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>
        <f t="shared" si="31"/>
        <v>0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>
        <f t="shared" si="31"/>
        <v>0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>
        <f t="shared" si="31"/>
        <v>0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>
        <f t="shared" si="31"/>
        <v>0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>
        <f t="shared" si="31"/>
        <v>0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>
        <f t="shared" si="31"/>
        <v>0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>
        <f t="shared" si="31"/>
        <v>0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>
        <f t="shared" si="31"/>
        <v>0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>
        <f t="shared" si="31"/>
        <v>0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>
        <f t="shared" si="31"/>
        <v>0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>
        <f t="shared" si="31"/>
        <v>0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>
        <f t="shared" si="31"/>
        <v>0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>
        <f t="shared" si="31"/>
        <v>0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>
        <f t="shared" si="31"/>
        <v>0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-224157.98</v>
      </c>
      <c r="D294" s="436">
        <f>-IFERROR(C294/$C$332,"0,00")</f>
        <v>0.22186237005702003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-224157.98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>
        <f t="shared" ref="D295:D311" si="33">IFERROR(C295/$C$332,"0,00%")</f>
        <v>0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>
        <f t="shared" si="33"/>
        <v>0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4"/>
        <v>0</v>
      </c>
      <c r="D297" s="450">
        <f t="shared" si="33"/>
        <v>0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4"/>
        <v>2536.86</v>
      </c>
      <c r="D298" s="450">
        <f t="shared" si="33"/>
        <v>2.5108799254117647E-3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H298" s="246">
        <v>2536.86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4"/>
        <v>669.64</v>
      </c>
      <c r="D299" s="450">
        <f t="shared" si="33"/>
        <v>6.6278219265262334E-4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H299" s="246">
        <v>669.64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4"/>
        <v>951.48</v>
      </c>
      <c r="D300" s="450">
        <f t="shared" si="33"/>
        <v>9.4173585906624161E-4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H300" s="246">
        <v>951.48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>
        <f t="shared" si="33"/>
        <v>0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>
        <f t="shared" si="33"/>
        <v>0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>
        <f t="shared" si="33"/>
        <v>0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>
        <f t="shared" si="33"/>
        <v>0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4"/>
        <v>220000</v>
      </c>
      <c r="D305" s="450">
        <f t="shared" si="33"/>
        <v>0.21774697207988938</v>
      </c>
      <c r="E305" s="329" t="e">
        <f>#REF!</f>
        <v>#REF!</v>
      </c>
      <c r="F305"/>
      <c r="H305" s="246">
        <v>220000</v>
      </c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>
        <f t="shared" si="33"/>
        <v>0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>
        <f t="shared" si="33"/>
        <v>0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>
        <f t="shared" si="33"/>
        <v>0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>
        <f t="shared" si="33"/>
        <v>0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>
        <f t="shared" si="33"/>
        <v>0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>
        <f t="shared" si="33"/>
        <v>0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>
        <f>IFERROR(C312/$C$332,"0,00%")</f>
        <v>0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>
        <f>IFERROR(C313/$C$332,"0,00%")</f>
        <v>0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>
        <f>IFERROR(C314/$C$332,"0,00%")</f>
        <v>0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-11641.8</v>
      </c>
      <c r="D315" s="436">
        <f>-IFERROR(C315/$C$332,"0,00")</f>
        <v>1.1522575907089347E-2</v>
      </c>
      <c r="E315" s="318">
        <v>8.1949891731061042E-2</v>
      </c>
      <c r="F315"/>
      <c r="H315" s="570">
        <f>-SUBTOTAL(109,H316:H321)</f>
        <v>-8675</v>
      </c>
      <c r="I315" s="570">
        <f>-SUBTOTAL(109,I316:I321)</f>
        <v>-2966.8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1929</v>
      </c>
      <c r="D316" s="450">
        <f t="shared" ref="D316:D321" si="35">IFERROR(C316/$C$332,"0,00%")</f>
        <v>1.9092450415550302E-3</v>
      </c>
      <c r="E316" s="329" t="e">
        <f>#REF!</f>
        <v>#REF!</v>
      </c>
      <c r="F316"/>
      <c r="H316" s="246">
        <v>1250</v>
      </c>
      <c r="I316" s="246">
        <v>679</v>
      </c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5637.8</v>
      </c>
      <c r="D317" s="450">
        <f t="shared" si="35"/>
        <v>5.5800630872363654E-3</v>
      </c>
      <c r="E317" s="329" t="e">
        <f>#REF!</f>
        <v>#REF!</v>
      </c>
      <c r="F317"/>
      <c r="H317" s="246">
        <v>3350</v>
      </c>
      <c r="I317" s="246">
        <v>2287.8000000000002</v>
      </c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6"/>
        <v>4075</v>
      </c>
      <c r="D318" s="450">
        <f t="shared" si="35"/>
        <v>4.0332677782979514E-3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H318" s="246">
        <v>4075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>
        <f t="shared" si="35"/>
        <v>0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>
        <f t="shared" si="35"/>
        <v>0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>
        <f t="shared" si="35"/>
        <v>0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-6578.51</v>
      </c>
      <c r="D322" s="436">
        <f>-IFERROR(C322/$C$332,"0,00")</f>
        <v>6.5111392422603324E-3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-6578.51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>
        <f t="shared" ref="D323:D329" si="37">IFERROR(C323/$C$332,"0,00%")</f>
        <v>0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H323" s="246">
        <v>0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>
        <f t="shared" si="37"/>
        <v>0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2008.2</v>
      </c>
      <c r="D325" s="450">
        <f t="shared" si="37"/>
        <v>1.9876339515037902E-3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H325" s="246">
        <v>2008.2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4570.3100000000004</v>
      </c>
      <c r="D326" s="450">
        <f t="shared" si="37"/>
        <v>4.5235052907565427E-3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H326" s="246">
        <v>4570.3100000000004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>
        <f t="shared" si="37"/>
        <v>0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>
        <f t="shared" si="37"/>
        <v>0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>
        <f t="shared" si="37"/>
        <v>0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-260629.22</v>
      </c>
      <c r="D330" s="452">
        <f>IFERROR(C330/(C27+C238),"0,00%")</f>
        <v>-0.25796010677519704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-257662.42</v>
      </c>
      <c r="I330" s="570">
        <f>-SUBTOTAL(109,I273:I329)</f>
        <v>-2966.8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437595.5799999999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1010347</v>
      </c>
      <c r="D332" s="456">
        <f>SUM(D27,D238)</f>
        <v>1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-933056.99</v>
      </c>
      <c r="D333" s="458">
        <f>IFERROR(C333/C332,"0,00%")</f>
        <v>-0.92350151977488926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-877222.02</v>
      </c>
      <c r="I333" s="571">
        <f>SUM(I85,I236,I330)</f>
        <v>-44848.92</v>
      </c>
      <c r="J333" s="571">
        <f>SUM(J85,J236,J330)</f>
        <v>-10986.050000000001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77290.010000000009</v>
      </c>
      <c r="D334" s="460">
        <f>IFERROR(C334/C332,"0,00%")</f>
        <v>7.6498480225110785E-2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47378.25</v>
      </c>
      <c r="I334" s="570">
        <f>I28+I238</f>
        <v>606271.08000000007</v>
      </c>
      <c r="J334" s="570">
        <f>J28+J238</f>
        <v>356697.67000000004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514885.58999999985</v>
      </c>
      <c r="D335" s="462">
        <f>IFERROR(C335/(C332+C331),"0,00%")</f>
        <v>0.35559807212797062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653649.33000000007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515135.91000000003</v>
      </c>
      <c r="D336" s="412">
        <f>SUM(D337:D360)</f>
        <v>1</v>
      </c>
      <c r="E336" s="336">
        <v>1</v>
      </c>
      <c r="F336" s="34"/>
      <c r="I336" s="246"/>
    </row>
    <row r="337" spans="2:10" x14ac:dyDescent="0.25">
      <c r="B337" s="413" t="str">
        <f>Fluxo_de_Caixa_Janeiro[[#This Row],[Fluxo de Caixa 2026 CTR]]</f>
        <v>1.0 - TESOURARIA MATRIZ PALMAS</v>
      </c>
      <c r="C337" s="62">
        <v>421.79</v>
      </c>
      <c r="D337" s="414">
        <f>IFERROR(C337/$C$336,"0,00%")</f>
        <v>8.1879362671493814E-4</v>
      </c>
      <c r="E337" s="337">
        <v>0.29736693118255098</v>
      </c>
      <c r="F337" s="34"/>
      <c r="G337">
        <v>1</v>
      </c>
      <c r="H337" s="246">
        <f>C3</f>
        <v>850.58</v>
      </c>
      <c r="I337" s="246"/>
    </row>
    <row r="338" spans="2:10" x14ac:dyDescent="0.25">
      <c r="B338" s="413" t="str">
        <f>Fluxo_de_Caixa_Janeiro[[#This Row],[Fluxo de Caixa 2026 CTR]]</f>
        <v>1.1 - BANCO DO BRASIL C.C.60409-7 MATRIZ</v>
      </c>
      <c r="C338" s="62">
        <v>52517.95</v>
      </c>
      <c r="D338" s="414">
        <f t="shared" ref="D338:D360" si="38">IFERROR(C338/$C$336,"0,00%")</f>
        <v>0.1019496971197368</v>
      </c>
      <c r="E338" s="337">
        <v>0.33251761890884102</v>
      </c>
      <c r="F338" s="34"/>
      <c r="G338">
        <v>2</v>
      </c>
      <c r="H338" s="246">
        <f t="shared" ref="H338:H360" si="39">C4</f>
        <v>36651.07</v>
      </c>
      <c r="I338" s="246"/>
      <c r="J338" s="637"/>
    </row>
    <row r="339" spans="2:10" hidden="1" x14ac:dyDescent="0.25">
      <c r="B339" s="413">
        <f>Fluxo_de_Caixa_Janeiro[[#This Row],[Fluxo de Caixa 2026 CTR]]</f>
        <v>0</v>
      </c>
      <c r="C339" s="62"/>
      <c r="D339" s="414">
        <f t="shared" si="38"/>
        <v>0</v>
      </c>
      <c r="E339" s="337">
        <v>0.31943681701513732</v>
      </c>
      <c r="F339" s="34"/>
      <c r="G339">
        <v>3</v>
      </c>
      <c r="H339" s="246">
        <f t="shared" si="39"/>
        <v>0</v>
      </c>
      <c r="I339" s="246"/>
    </row>
    <row r="340" spans="2:10" x14ac:dyDescent="0.25">
      <c r="B340" s="413" t="str">
        <f>Fluxo_de_Caixa_Janeiro[[#This Row],[Fluxo de Caixa 2026 CTR]]</f>
        <v>1.2-BRADESCO 15232-3 MATRIZ</v>
      </c>
      <c r="C340" s="62">
        <v>733.84</v>
      </c>
      <c r="D340" s="414">
        <f t="shared" si="38"/>
        <v>1.4245560943324646E-3</v>
      </c>
      <c r="E340" s="337">
        <v>0</v>
      </c>
      <c r="F340" s="34"/>
      <c r="G340">
        <v>4</v>
      </c>
      <c r="H340" s="246">
        <f t="shared" si="39"/>
        <v>6785.01</v>
      </c>
      <c r="I340" s="246"/>
    </row>
    <row r="341" spans="2:10" hidden="1" x14ac:dyDescent="0.25">
      <c r="B341" s="413">
        <f>Fluxo_de_Caixa_Janeiro[[#This Row],[Fluxo de Caixa 2026 CTR]]</f>
        <v>0</v>
      </c>
      <c r="C341" s="62"/>
      <c r="D341" s="414">
        <f t="shared" si="38"/>
        <v>0</v>
      </c>
      <c r="E341" s="337">
        <v>1.4395773294013838E-2</v>
      </c>
      <c r="F341" s="34"/>
      <c r="G341">
        <v>5</v>
      </c>
      <c r="H341" s="246">
        <f t="shared" si="39"/>
        <v>0</v>
      </c>
      <c r="I341" s="246"/>
    </row>
    <row r="342" spans="2:10" x14ac:dyDescent="0.25">
      <c r="B342" s="413" t="str">
        <f>Fluxo_de_Caixa_Janeiro[[#This Row],[Fluxo de Caixa 2026 CTR]]</f>
        <v>1.3 - BANCO STONE MATRIZ C.C 40256726-7</v>
      </c>
      <c r="C342" s="62"/>
      <c r="D342" s="414">
        <f t="shared" si="38"/>
        <v>0</v>
      </c>
      <c r="E342" s="337">
        <v>1.1641126229335877E-2</v>
      </c>
      <c r="F342" s="34"/>
      <c r="G342">
        <v>6</v>
      </c>
      <c r="H342" s="246">
        <f>C8</f>
        <v>0</v>
      </c>
      <c r="I342" s="246"/>
    </row>
    <row r="343" spans="2:10" x14ac:dyDescent="0.25">
      <c r="B343" s="413" t="str">
        <f>Fluxo_de_Caixa_Janeiro[[#This Row],[Fluxo de Caixa 2026 CTR]]</f>
        <v>1.4 - BANCO DA AMAZONIA 071730-7 MATRIZ</v>
      </c>
      <c r="C343" s="62">
        <v>5306.88</v>
      </c>
      <c r="D343" s="414">
        <f t="shared" si="38"/>
        <v>1.0301902657106548E-2</v>
      </c>
      <c r="E343" s="337">
        <v>2.4641733370120961E-2</v>
      </c>
      <c r="F343" s="34"/>
      <c r="G343">
        <v>7</v>
      </c>
      <c r="H343" s="246">
        <f t="shared" si="39"/>
        <v>304243.92</v>
      </c>
      <c r="I343" s="246"/>
    </row>
    <row r="344" spans="2:10" x14ac:dyDescent="0.25">
      <c r="B344" s="413" t="str">
        <f>Fluxo_de_Caixa_Janeiro[[#This Row],[Fluxo de Caixa 2026 CTR]]</f>
        <v>1.4.1.INVESTIMENTO CDBORE RCP TXFL</v>
      </c>
      <c r="C344" s="62">
        <v>74541.539999999994</v>
      </c>
      <c r="D344" s="414">
        <f t="shared" si="38"/>
        <v>0.14470266691366943</v>
      </c>
      <c r="E344" s="337">
        <v>0</v>
      </c>
      <c r="F344" s="34"/>
      <c r="G344">
        <v>8</v>
      </c>
      <c r="H344" s="246">
        <f t="shared" si="39"/>
        <v>0</v>
      </c>
      <c r="I344" s="246"/>
    </row>
    <row r="345" spans="2:10" x14ac:dyDescent="0.25">
      <c r="B345" s="413" t="str">
        <f>Fluxo_de_Caixa_Janeiro[[#This Row],[Fluxo de Caixa 2026 CTR]]</f>
        <v>1.5 -  ITAU C.C.98671-6 MATRIZ</v>
      </c>
      <c r="C345" s="62">
        <v>367595.19</v>
      </c>
      <c r="D345" s="414">
        <f t="shared" si="38"/>
        <v>0.71358874981167586</v>
      </c>
      <c r="E345" s="337">
        <v>0</v>
      </c>
      <c r="F345" s="34"/>
      <c r="G345">
        <v>9</v>
      </c>
      <c r="H345" s="246">
        <f t="shared" si="39"/>
        <v>95802.27</v>
      </c>
      <c r="I345" s="246"/>
    </row>
    <row r="346" spans="2:10" x14ac:dyDescent="0.25">
      <c r="B346" s="413" t="str">
        <f>Fluxo_de_Caixa_Janeiro[[#This Row],[Fluxo de Caixa 2026 CTR]]</f>
        <v>1.5.03. ITAU C.C 83290-2 GARANTIDA</v>
      </c>
      <c r="C346" s="62">
        <v>0</v>
      </c>
      <c r="D346" s="414">
        <f t="shared" si="38"/>
        <v>0</v>
      </c>
      <c r="E346" s="337">
        <v>0</v>
      </c>
      <c r="F346" s="34"/>
      <c r="G346">
        <v>10</v>
      </c>
      <c r="H346" s="246">
        <f t="shared" si="39"/>
        <v>0</v>
      </c>
      <c r="I346" s="246"/>
    </row>
    <row r="347" spans="2:10" x14ac:dyDescent="0.25">
      <c r="B347" s="413" t="str">
        <f>Fluxo_de_Caixa_Janeiro[[#This Row],[Fluxo de Caixa 2026 CTR]]</f>
        <v>1.9 - CONTA PERDA/ROUBO/BONIFICAÇÃO E DOAÇÃO</v>
      </c>
      <c r="C347" s="62">
        <v>-20953.13</v>
      </c>
      <c r="D347" s="414">
        <f t="shared" si="38"/>
        <v>-4.0674955081271662E-2</v>
      </c>
      <c r="E347" s="337">
        <v>4.031448971430979E-3</v>
      </c>
      <c r="G347">
        <v>11</v>
      </c>
      <c r="H347" s="246">
        <f t="shared" si="39"/>
        <v>-20953.13</v>
      </c>
      <c r="I347" s="246"/>
    </row>
    <row r="348" spans="2:10" hidden="1" x14ac:dyDescent="0.25">
      <c r="B348" s="413">
        <f>Fluxo_de_Caixa_Janeiro[[#This Row],[Fluxo de Caixa 2026 CTR]]</f>
        <v>0</v>
      </c>
      <c r="C348" s="62"/>
      <c r="D348" s="414">
        <f t="shared" si="38"/>
        <v>0</v>
      </c>
      <c r="E348" s="337" t="e">
        <f>#REF!</f>
        <v>#REF!</v>
      </c>
      <c r="G348">
        <v>12</v>
      </c>
      <c r="H348" s="246">
        <f t="shared" si="39"/>
        <v>0</v>
      </c>
      <c r="I348" s="246"/>
    </row>
    <row r="349" spans="2:10" x14ac:dyDescent="0.25">
      <c r="B349" s="413" t="str">
        <f>Fluxo_de_Caixa_Janeiro[[#This Row],[Fluxo de Caixa 2026 CTR]]</f>
        <v>2.1 - BANCO DO BRASIL C.C.60638-3 FILIAL PALMAS</v>
      </c>
      <c r="C349" s="62">
        <v>62169.13</v>
      </c>
      <c r="D349" s="414">
        <f t="shared" si="38"/>
        <v>0.12068490818277451</v>
      </c>
      <c r="E349" s="337" t="e">
        <f>#REF!</f>
        <v>#REF!</v>
      </c>
      <c r="G349">
        <v>13</v>
      </c>
      <c r="H349" s="246">
        <f t="shared" si="39"/>
        <v>33375.699999999997</v>
      </c>
      <c r="I349" s="246"/>
    </row>
    <row r="350" spans="2:10" hidden="1" x14ac:dyDescent="0.25">
      <c r="B350" s="413">
        <f>Fluxo_de_Caixa_Janeiro[[#This Row],[Fluxo de Caixa 2026 CTR]]</f>
        <v>0</v>
      </c>
      <c r="C350" s="62"/>
      <c r="D350" s="414">
        <f t="shared" si="38"/>
        <v>0</v>
      </c>
      <c r="E350" s="337" t="e">
        <f>#REF!</f>
        <v>#REF!</v>
      </c>
      <c r="G350">
        <v>14</v>
      </c>
      <c r="H350" s="246">
        <f t="shared" si="39"/>
        <v>0</v>
      </c>
      <c r="I350" s="246"/>
    </row>
    <row r="351" spans="2:10" hidden="1" x14ac:dyDescent="0.25">
      <c r="B351" s="413">
        <f>Fluxo_de_Caixa_Janeiro[[#This Row],[Fluxo de Caixa 2026 CTR]]</f>
        <v>0</v>
      </c>
      <c r="C351" s="62"/>
      <c r="D351" s="414">
        <f t="shared" si="38"/>
        <v>0</v>
      </c>
      <c r="E351" s="337" t="e">
        <f>#REF!</f>
        <v>#REF!</v>
      </c>
      <c r="G351">
        <v>15</v>
      </c>
      <c r="H351" s="246">
        <f t="shared" si="39"/>
        <v>0</v>
      </c>
      <c r="I351" s="246"/>
    </row>
    <row r="352" spans="2:10" x14ac:dyDescent="0.25">
      <c r="B352" s="625" t="str">
        <f>Fluxo_de_Caixa_Janeiro[[#This Row],[Fluxo de Caixa 2026 CTR]]</f>
        <v>2.4 - ITAU C.C.98669-0 FILIAL PALMAS</v>
      </c>
      <c r="C352" s="626">
        <v>37.729999999999997</v>
      </c>
      <c r="D352" s="414">
        <f t="shared" si="38"/>
        <v>7.3242806932252098E-5</v>
      </c>
      <c r="E352" s="627" t="e">
        <f>#REF!</f>
        <v>#REF!</v>
      </c>
      <c r="G352">
        <v>16</v>
      </c>
      <c r="H352" s="246">
        <f t="shared" si="39"/>
        <v>37.729999999999997</v>
      </c>
      <c r="I352" s="246"/>
    </row>
    <row r="353" spans="2:9" x14ac:dyDescent="0.25">
      <c r="B353" s="625" t="str">
        <f>Fluxo_de_Caixa_Janeiro[[#This Row],[Fluxo de Caixa 2026 CTR]]</f>
        <v>2.9 - CONTA PERDA/ROUBO E BONIFICAÇÃO FILIAL</v>
      </c>
      <c r="C353" s="626">
        <v>-8367.5</v>
      </c>
      <c r="D353" s="414">
        <f t="shared" si="38"/>
        <v>-1.6243286165004492E-2</v>
      </c>
      <c r="E353" s="627" t="e">
        <f>#REF!</f>
        <v>#REF!</v>
      </c>
      <c r="G353">
        <v>17</v>
      </c>
      <c r="H353" s="246">
        <f t="shared" si="39"/>
        <v>-8598.58</v>
      </c>
      <c r="I353" s="246"/>
    </row>
    <row r="354" spans="2:9" x14ac:dyDescent="0.25">
      <c r="B354" s="625" t="str">
        <f>Fluxo_de_Caixa_Janeiro[[#This Row],[Fluxo de Caixa 2026 CTR]]</f>
        <v>4.0 - TESOURARIA FILIAL PORTO</v>
      </c>
      <c r="C354" s="626">
        <v>372.39</v>
      </c>
      <c r="D354" s="414">
        <f t="shared" si="38"/>
        <v>7.2289660412142487E-4</v>
      </c>
      <c r="E354" s="627" t="e">
        <f>#REF!</f>
        <v>#REF!</v>
      </c>
      <c r="G354">
        <v>18</v>
      </c>
      <c r="H354" s="246">
        <f t="shared" si="39"/>
        <v>534.16</v>
      </c>
      <c r="I354" s="246"/>
    </row>
    <row r="355" spans="2:9" x14ac:dyDescent="0.25">
      <c r="B355" s="625" t="str">
        <f>Fluxo_de_Caixa_Janeiro[[#This Row],[Fluxo de Caixa 2026 CTR]]</f>
        <v>4.1 -  BANCO DO BRASIL C.C.61105-0 FILIAL PORTO</v>
      </c>
      <c r="C355" s="626">
        <v>308.02999999999997</v>
      </c>
      <c r="D355" s="414">
        <f t="shared" si="38"/>
        <v>5.9795870181133355E-4</v>
      </c>
      <c r="E355" s="627" t="e">
        <f>#REF!</f>
        <v>#REF!</v>
      </c>
      <c r="G355">
        <v>19</v>
      </c>
      <c r="H355" s="246">
        <f t="shared" si="39"/>
        <v>521.91999999999996</v>
      </c>
      <c r="I355" s="246"/>
    </row>
    <row r="356" spans="2:9" hidden="1" x14ac:dyDescent="0.25">
      <c r="B356" s="625">
        <f>Fluxo_de_Caixa_Janeiro[[#This Row],[Fluxo de Caixa 2026 CTR]]</f>
        <v>0</v>
      </c>
      <c r="C356" s="626"/>
      <c r="D356" s="414">
        <f t="shared" si="38"/>
        <v>0</v>
      </c>
      <c r="E356" s="627" t="e">
        <f>#REF!</f>
        <v>#REF!</v>
      </c>
      <c r="G356">
        <v>20</v>
      </c>
      <c r="H356" s="246">
        <f t="shared" si="39"/>
        <v>0</v>
      </c>
      <c r="I356" s="246"/>
    </row>
    <row r="357" spans="2:9" x14ac:dyDescent="0.25">
      <c r="B357" s="625" t="str">
        <f>Fluxo_de_Caixa_Janeiro[[#This Row],[Fluxo de Caixa 2026 CTR]]</f>
        <v>4.4 - MERCADO PAGO PIX FILIAL PORTO</v>
      </c>
      <c r="C357" s="626">
        <v>6468.92</v>
      </c>
      <c r="D357" s="414">
        <f t="shared" si="38"/>
        <v>1.2557695696267806E-2</v>
      </c>
      <c r="E357" s="627" t="e">
        <f>#REF!</f>
        <v>#REF!</v>
      </c>
      <c r="G357">
        <v>21</v>
      </c>
      <c r="H357" s="246">
        <f t="shared" si="39"/>
        <v>13187.1</v>
      </c>
      <c r="I357" s="246"/>
    </row>
    <row r="358" spans="2:9" x14ac:dyDescent="0.25">
      <c r="B358" s="625" t="str">
        <f>Fluxo_de_Caixa_Janeiro[[#This Row],[Fluxo de Caixa 2026 CTR]]</f>
        <v>4.9 - CONTA PERDA/ROUBO E BONIFICAÇÃO FILIAL</v>
      </c>
      <c r="C358" s="626">
        <v>-29071.86</v>
      </c>
      <c r="D358" s="414">
        <f t="shared" si="38"/>
        <v>-5.6435320146871526E-2</v>
      </c>
      <c r="E358" s="627" t="e">
        <f>#REF!</f>
        <v>#REF!</v>
      </c>
      <c r="G358">
        <v>22</v>
      </c>
      <c r="H358" s="246">
        <f t="shared" si="39"/>
        <v>-29071.86</v>
      </c>
      <c r="I358" s="246"/>
    </row>
    <row r="359" spans="2:9" x14ac:dyDescent="0.25">
      <c r="B359" s="625" t="str">
        <f>Fluxo_de_Caixa_Janeiro[[#This Row],[Fluxo de Caixa 2026 CTR]]</f>
        <v>91.CARTÃO ENDERED 5099+4596+6933+8072 - ESCRITORIO</v>
      </c>
      <c r="C359" s="626">
        <f>57.81+44+304.83+2648.37</f>
        <v>3055.0099999999998</v>
      </c>
      <c r="D359" s="414">
        <f t="shared" si="38"/>
        <v>5.930493178004227E-3</v>
      </c>
      <c r="E359" s="627" t="e">
        <f>#REF!</f>
        <v>#REF!</v>
      </c>
      <c r="G359">
        <v>23</v>
      </c>
      <c r="H359" s="246">
        <f t="shared" si="39"/>
        <v>4229.6900000000005</v>
      </c>
      <c r="I359" s="246"/>
    </row>
    <row r="360" spans="2:9" hidden="1" x14ac:dyDescent="0.25">
      <c r="B360" s="625">
        <f>Fluxo_de_Caixa_Janeiro[[#This Row],[Fluxo de Caixa 2026 CTR]]</f>
        <v>0</v>
      </c>
      <c r="C360" s="626"/>
      <c r="D360" s="414">
        <f t="shared" si="38"/>
        <v>0</v>
      </c>
      <c r="E360" s="627" t="e">
        <f>#REF!</f>
        <v>#REF!</v>
      </c>
      <c r="G360">
        <v>24</v>
      </c>
      <c r="H360" s="246">
        <f t="shared" si="39"/>
        <v>220.65999999997439</v>
      </c>
      <c r="I360" s="246"/>
    </row>
    <row r="361" spans="2:9" ht="24" thickBot="1" x14ac:dyDescent="0.4">
      <c r="B361" s="463"/>
      <c r="C361" s="464">
        <f>SUM(C337:C360)-C335</f>
        <v>250.32000000018161</v>
      </c>
      <c r="D361" s="465">
        <f>IFERROR(C361/C336,"0,00%")</f>
        <v>4.8593001408149083E-4</v>
      </c>
      <c r="E361" s="338" t="e">
        <f>#REF!</f>
        <v>#REF!</v>
      </c>
      <c r="H361" s="246">
        <f>SUM(H337:H360)</f>
        <v>437816.23999999987</v>
      </c>
      <c r="I361" s="246"/>
    </row>
    <row r="362" spans="2:9" x14ac:dyDescent="0.25"/>
    <row r="363" spans="2:9" x14ac:dyDescent="0.25"/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2" x14ac:dyDescent="0.25"/>
    <row r="393" x14ac:dyDescent="0.25"/>
    <row r="394" x14ac:dyDescent="0.25"/>
    <row r="395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</sheetData>
  <protectedRanges>
    <protectedRange sqref="C3:C26" name="Intervalo1"/>
    <protectedRange sqref="C343 C345:C360" name="Saldo Final de Banco_2"/>
    <protectedRange sqref="C337:C342 C344" name="Saldo Final de Banco_1_1"/>
  </protectedRanges>
  <conditionalFormatting sqref="C86">
    <cfRule type="cellIs" dxfId="611" priority="1" operator="lessThan">
      <formula>0</formula>
    </cfRule>
  </conditionalFormatting>
  <conditionalFormatting sqref="C237">
    <cfRule type="cellIs" dxfId="610" priority="2" operator="greaterThan">
      <formula>0</formula>
    </cfRule>
    <cfRule type="cellIs" dxfId="609" priority="3" operator="lessThan">
      <formula>0</formula>
    </cfRule>
    <cfRule type="cellIs" dxfId="608" priority="4" operator="greaterThan">
      <formula>0</formula>
    </cfRule>
  </conditionalFormatting>
  <conditionalFormatting sqref="C334">
    <cfRule type="cellIs" dxfId="607" priority="5" operator="lessThan">
      <formula>0</formula>
    </cfRule>
    <cfRule type="cellIs" dxfId="606" priority="6" operator="greaterThan">
      <formula>0</formula>
    </cfRule>
  </conditionalFormatting>
  <conditionalFormatting sqref="C335">
    <cfRule type="cellIs" dxfId="605" priority="7" operator="lessThan">
      <formula>0</formula>
    </cfRule>
    <cfRule type="cellIs" dxfId="604" priority="8" operator="greaterThan">
      <formula>0.001</formula>
    </cfRule>
    <cfRule type="cellIs" dxfId="603" priority="9" operator="lessThan">
      <formula>0</formula>
    </cfRule>
    <cfRule type="cellIs" dxfId="602" priority="10" operator="greaterThan">
      <formula>0</formula>
    </cfRule>
    <cfRule type="aboveAverage" dxfId="601" priority="11" aboveAverage="0"/>
  </conditionalFormatting>
  <conditionalFormatting sqref="D86">
    <cfRule type="cellIs" dxfId="600" priority="29" operator="lessThan">
      <formula>0</formula>
    </cfRule>
  </conditionalFormatting>
  <conditionalFormatting sqref="D237 D334">
    <cfRule type="cellIs" dxfId="599" priority="36" operator="greaterThan">
      <formula>0</formula>
    </cfRule>
  </conditionalFormatting>
  <conditionalFormatting sqref="D237">
    <cfRule type="cellIs" dxfId="598" priority="32" operator="lessThan">
      <formula>0</formula>
    </cfRule>
    <cfRule type="cellIs" dxfId="597" priority="31" operator="greaterThan">
      <formula>0</formula>
    </cfRule>
  </conditionalFormatting>
  <conditionalFormatting sqref="D334">
    <cfRule type="cellIs" dxfId="596" priority="35" operator="lessThan">
      <formula>0</formula>
    </cfRule>
  </conditionalFormatting>
  <conditionalFormatting sqref="D335">
    <cfRule type="cellIs" dxfId="595" priority="34" operator="greaterThan">
      <formula>0</formula>
    </cfRule>
    <cfRule type="cellIs" dxfId="594" priority="33" operator="lessThan">
      <formula>0</formula>
    </cfRule>
    <cfRule type="cellIs" dxfId="593" priority="30" operator="greaterThan">
      <formula>0</formula>
    </cfRule>
    <cfRule type="aboveAverage" dxfId="592" priority="37" aboveAverage="0"/>
  </conditionalFormatting>
  <conditionalFormatting sqref="E86">
    <cfRule type="cellIs" dxfId="591" priority="20" operator="lessThan">
      <formula>0</formula>
    </cfRule>
  </conditionalFormatting>
  <conditionalFormatting sqref="E237 E334">
    <cfRule type="cellIs" dxfId="590" priority="27" operator="greaterThan">
      <formula>0</formula>
    </cfRule>
  </conditionalFormatting>
  <conditionalFormatting sqref="E237">
    <cfRule type="cellIs" dxfId="589" priority="23" operator="lessThan">
      <formula>0</formula>
    </cfRule>
    <cfRule type="cellIs" dxfId="588" priority="22" operator="greaterThan">
      <formula>0</formula>
    </cfRule>
  </conditionalFormatting>
  <conditionalFormatting sqref="E334">
    <cfRule type="cellIs" dxfId="587" priority="26" operator="lessThan">
      <formula>0</formula>
    </cfRule>
  </conditionalFormatting>
  <conditionalFormatting sqref="E335">
    <cfRule type="aboveAverage" dxfId="586" priority="28" aboveAverage="0"/>
    <cfRule type="cellIs" dxfId="585" priority="21" operator="greaterThan">
      <formula>0</formula>
    </cfRule>
    <cfRule type="cellIs" dxfId="584" priority="24" operator="lessThan">
      <formula>0</formula>
    </cfRule>
    <cfRule type="cellIs" dxfId="583" priority="25" operator="greaterThan">
      <formula>0</formula>
    </cfRule>
  </conditionalFormatting>
  <conditionalFormatting sqref="F27">
    <cfRule type="iconSet" priority="123">
      <iconSet>
        <cfvo type="percent" val="0"/>
        <cfvo type="percent" val="33"/>
        <cfvo type="percent" val="67"/>
      </iconSet>
    </cfRule>
    <cfRule type="iconSet" priority="118">
      <iconSet iconSet="3Arrows">
        <cfvo type="percent" val="0"/>
        <cfvo type="percent" val="$F$27&lt;=0"/>
        <cfvo type="percent" val="$F$27&gt;=0"/>
      </iconSet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82" priority="120" operator="containsText" text="FALSO">
      <formula>NOT(ISERROR(SEARCH("FALSO",F27)))</formula>
    </cfRule>
    <cfRule type="containsText" dxfId="581" priority="121" operator="containsText" text="VERDADEIRO">
      <formula>NOT(ISERROR(SEARCH("VERDADEIRO",F27)))</formula>
    </cfRule>
    <cfRule type="iconSet" priority="122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580" priority="40" operator="containsText" text="FALSO">
      <formula>NOT(ISERROR(SEARCH("FALSO",F28)))</formula>
    </cfRule>
    <cfRule type="containsText" dxfId="579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578" priority="17" operator="containsText" text="Verd">
      <formula>NOT(ISERROR(SEARCH("Verd",F29)))</formula>
    </cfRule>
    <cfRule type="containsText" dxfId="577" priority="16" operator="containsText" text="Fals">
      <formula>NOT(ISERROR(SEARCH("Fals",F29)))</formula>
    </cfRule>
  </conditionalFormatting>
  <conditionalFormatting sqref="F49:F86">
    <cfRule type="containsText" dxfId="576" priority="15" operator="containsText" text="Verd">
      <formula>NOT(ISERROR(SEARCH("Verd",F49)))</formula>
    </cfRule>
    <cfRule type="containsText" dxfId="575" priority="14" operator="containsText" text="Fals">
      <formula>NOT(ISERROR(SEARCH("Fals",F49)))</formula>
    </cfRule>
  </conditionalFormatting>
  <conditionalFormatting sqref="F88:F271">
    <cfRule type="containsText" dxfId="574" priority="19" operator="containsText" text="Verd">
      <formula>NOT(ISERROR(SEARCH("Verd",F88)))</formula>
    </cfRule>
    <cfRule type="containsText" dxfId="573" priority="18" operator="containsText" text="Fals">
      <formula>NOT(ISERROR(SEARCH("Fals",F88)))</formula>
    </cfRule>
  </conditionalFormatting>
  <conditionalFormatting sqref="F273:F330">
    <cfRule type="containsText" dxfId="572" priority="13" operator="containsText" text="Verd">
      <formula>NOT(ISERROR(SEARCH("Verd",F273)))</formula>
    </cfRule>
    <cfRule type="containsText" dxfId="571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  <pageSetUpPr autoPageBreaks="0"/>
  </sheetPr>
  <dimension ref="A1:HA412"/>
  <sheetViews>
    <sheetView tabSelected="1" zoomScale="115" zoomScaleNormal="115" zoomScaleSheetLayoutView="100" workbookViewId="0">
      <pane xSplit="2" ySplit="1" topLeftCell="C333" activePane="bottomRight" state="frozen"/>
      <selection pane="topRight" activeCell="B1" sqref="B1"/>
      <selection pane="bottomLeft" activeCell="A2" sqref="A2"/>
      <selection pane="bottomRight" activeCell="I345" sqref="I345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140625" customWidth="1"/>
    <col min="8" max="8" width="21.7109375" style="246" customWidth="1"/>
    <col min="9" max="9" width="21.710937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152</v>
      </c>
      <c r="D1" s="410" t="s">
        <v>309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515135.91000000003</v>
      </c>
      <c r="D2" s="412">
        <f>SUM(D3:D26)</f>
        <v>1</v>
      </c>
      <c r="E2" s="307"/>
      <c r="F2" s="31"/>
      <c r="H2" s="285"/>
    </row>
    <row r="3" spans="1:10" x14ac:dyDescent="0.25">
      <c r="B3" s="413" t="str">
        <f>Fluxo_de_Caixa_Janeiro[[#This Row],[Fluxo de Caixa 2026 CTR]]</f>
        <v>1.0 - TESOURARIA MATRIZ PALMAS</v>
      </c>
      <c r="C3" s="62">
        <f>ABRIL!C337</f>
        <v>421.79</v>
      </c>
      <c r="D3" s="414">
        <f>IF(C3=0,"0,00%",C3/$C$2)</f>
        <v>8.1879362671493814E-4</v>
      </c>
      <c r="E3" s="66"/>
      <c r="F3" s="31"/>
    </row>
    <row r="4" spans="1:10" x14ac:dyDescent="0.25">
      <c r="B4" s="413" t="str">
        <f>Fluxo_de_Caixa_Janeiro[[#This Row],[Fluxo de Caixa 2026 CTR]]</f>
        <v>1.1 - BANCO DO BRASIL C.C.60409-7 MATRIZ</v>
      </c>
      <c r="C4" s="62">
        <f>ABRIL!C338</f>
        <v>52517.95</v>
      </c>
      <c r="D4" s="414">
        <f t="shared" ref="D4:D26" si="0">IF(C4=0,"0,00%",C4/$C$2)</f>
        <v>0.1019496971197368</v>
      </c>
      <c r="E4" s="66"/>
      <c r="F4" s="31"/>
    </row>
    <row r="5" spans="1:10" hidden="1" x14ac:dyDescent="0.25">
      <c r="B5" s="413">
        <f>Fluxo_de_Caixa_Janeiro[[#This Row],[Fluxo de Caixa 2026 CTR]]</f>
        <v>0</v>
      </c>
      <c r="C5" s="62">
        <f>ABRIL!C339</f>
        <v>0</v>
      </c>
      <c r="D5" s="414" t="str">
        <f t="shared" si="0"/>
        <v>0,00%</v>
      </c>
      <c r="E5" s="66"/>
      <c r="F5" s="31"/>
    </row>
    <row r="6" spans="1:10" x14ac:dyDescent="0.25">
      <c r="B6" s="413" t="str">
        <f>Fluxo_de_Caixa_Janeiro[[#This Row],[Fluxo de Caixa 2026 CTR]]</f>
        <v>1.2-BRADESCO 15232-3 MATRIZ</v>
      </c>
      <c r="C6" s="62">
        <f>ABRIL!C340</f>
        <v>733.84</v>
      </c>
      <c r="D6" s="414">
        <f t="shared" si="0"/>
        <v>1.4245560943324646E-3</v>
      </c>
      <c r="E6" s="66"/>
      <c r="F6" s="31"/>
    </row>
    <row r="7" spans="1:10" hidden="1" x14ac:dyDescent="0.25">
      <c r="B7" s="413">
        <f>Fluxo_de_Caixa_Janeiro[[#This Row],[Fluxo de Caixa 2026 CTR]]</f>
        <v>0</v>
      </c>
      <c r="C7" s="62">
        <f>ABRIL!C341</f>
        <v>0</v>
      </c>
      <c r="D7" s="414" t="str">
        <f t="shared" si="0"/>
        <v>0,00%</v>
      </c>
      <c r="E7" s="66"/>
      <c r="F7" s="31"/>
    </row>
    <row r="8" spans="1:10" x14ac:dyDescent="0.25">
      <c r="B8" s="413" t="str">
        <f>Fluxo_de_Caixa_Janeiro[[#This Row],[Fluxo de Caixa 2026 CTR]]</f>
        <v>1.3 - BANCO STONE MATRIZ C.C 40256726-7</v>
      </c>
      <c r="C8" s="62">
        <f>ABRIL!C342</f>
        <v>0</v>
      </c>
      <c r="D8" s="414" t="str">
        <f t="shared" si="0"/>
        <v>0,00%</v>
      </c>
      <c r="E8" s="66"/>
      <c r="F8" s="31"/>
    </row>
    <row r="9" spans="1:10" x14ac:dyDescent="0.25">
      <c r="B9" s="413" t="str">
        <f>Fluxo_de_Caixa_Janeiro[[#This Row],[Fluxo de Caixa 2026 CTR]]</f>
        <v>1.4 - BANCO DA AMAZONIA 071730-7 MATRIZ</v>
      </c>
      <c r="C9" s="62">
        <f>ABRIL!C343</f>
        <v>5306.88</v>
      </c>
      <c r="D9" s="414">
        <f t="shared" si="0"/>
        <v>1.0301902657106548E-2</v>
      </c>
      <c r="E9" s="66"/>
      <c r="F9" s="31"/>
    </row>
    <row r="10" spans="1:10" x14ac:dyDescent="0.25">
      <c r="B10" s="413" t="str">
        <f>Fluxo_de_Caixa_Janeiro[[#This Row],[Fluxo de Caixa 2026 CTR]]</f>
        <v>1.4.1.INVESTIMENTO CDBORE RCP TXFL</v>
      </c>
      <c r="C10" s="62">
        <f>ABRIL!C344</f>
        <v>74541.539999999994</v>
      </c>
      <c r="D10" s="414">
        <f t="shared" si="0"/>
        <v>0.14470266691366943</v>
      </c>
      <c r="E10" s="66"/>
      <c r="F10" s="31"/>
    </row>
    <row r="11" spans="1:10" x14ac:dyDescent="0.25">
      <c r="B11" s="413" t="str">
        <f>Fluxo_de_Caixa_Janeiro[[#This Row],[Fluxo de Caixa 2026 CTR]]</f>
        <v>1.5 -  ITAU C.C.98671-6 MATRIZ</v>
      </c>
      <c r="C11" s="62">
        <f>ABRIL!C345</f>
        <v>367595.19</v>
      </c>
      <c r="D11" s="414">
        <f t="shared" si="0"/>
        <v>0.71358874981167586</v>
      </c>
      <c r="E11" s="66"/>
      <c r="F11" s="31"/>
    </row>
    <row r="12" spans="1:10" x14ac:dyDescent="0.25">
      <c r="B12" s="413" t="str">
        <f>Fluxo_de_Caixa_Janeiro[[#This Row],[Fluxo de Caixa 2026 CTR]]</f>
        <v>1.5.03. ITAU C.C 83290-2 GARANTIDA</v>
      </c>
      <c r="C12" s="62">
        <f>ABRIL!C346</f>
        <v>0</v>
      </c>
      <c r="D12" s="414" t="str">
        <f t="shared" si="0"/>
        <v>0,00%</v>
      </c>
      <c r="E12" s="66"/>
      <c r="F12" s="31"/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ABRIL!C347</f>
        <v>-20953.13</v>
      </c>
      <c r="D13" s="414">
        <f t="shared" si="0"/>
        <v>-4.0674955081271662E-2</v>
      </c>
      <c r="E13" s="66"/>
      <c r="F13" s="31"/>
    </row>
    <row r="14" spans="1:10" hidden="1" x14ac:dyDescent="0.25">
      <c r="B14" s="413">
        <f>Fluxo_de_Caixa_Janeiro[[#This Row],[Fluxo de Caixa 2026 CTR]]</f>
        <v>0</v>
      </c>
      <c r="C14" s="62">
        <f>ABRIL!C348</f>
        <v>0</v>
      </c>
      <c r="D14" s="414" t="str">
        <f t="shared" si="0"/>
        <v>0,00%</v>
      </c>
      <c r="E14" s="66"/>
      <c r="F14" s="31"/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ABRIL!C349</f>
        <v>62169.13</v>
      </c>
      <c r="D15" s="414">
        <f t="shared" si="0"/>
        <v>0.12068490818277451</v>
      </c>
      <c r="E15" s="66"/>
      <c r="F15" s="31"/>
    </row>
    <row r="16" spans="1:10" hidden="1" x14ac:dyDescent="0.25">
      <c r="B16" s="413">
        <f>Fluxo_de_Caixa_Janeiro[[#This Row],[Fluxo de Caixa 2026 CTR]]</f>
        <v>0</v>
      </c>
      <c r="C16" s="62">
        <f>ABRIL!C350</f>
        <v>0</v>
      </c>
      <c r="D16" s="414" t="str">
        <f t="shared" si="0"/>
        <v>0,00%</v>
      </c>
      <c r="E16" s="66"/>
      <c r="F16" s="31"/>
    </row>
    <row r="17" spans="1:10" ht="15.75" hidden="1" thickBot="1" x14ac:dyDescent="0.3">
      <c r="B17" s="413">
        <f>Fluxo_de_Caixa_Janeiro[[#This Row],[Fluxo de Caixa 2026 CTR]]</f>
        <v>0</v>
      </c>
      <c r="C17" s="62">
        <f>ABRIL!C351</f>
        <v>0</v>
      </c>
      <c r="D17" s="414" t="str">
        <f t="shared" si="0"/>
        <v>0,00%</v>
      </c>
      <c r="E17" s="67"/>
      <c r="F17" s="31"/>
    </row>
    <row r="18" spans="1:10" x14ac:dyDescent="0.25">
      <c r="B18" s="625" t="str">
        <f>Fluxo_de_Caixa_Janeiro[[#This Row],[Fluxo de Caixa 2026 CTR]]</f>
        <v>2.4 - ITAU C.C.98669-0 FILIAL PALMAS</v>
      </c>
      <c r="C18" s="62">
        <f>ABRIL!C352</f>
        <v>37.729999999999997</v>
      </c>
      <c r="D18" s="414">
        <f t="shared" si="0"/>
        <v>7.3242806932252098E-5</v>
      </c>
      <c r="E18" s="627" t="e">
        <f>#REF!</f>
        <v>#REF!</v>
      </c>
      <c r="F18" s="31"/>
    </row>
    <row r="19" spans="1:10" x14ac:dyDescent="0.25">
      <c r="B19" s="625" t="str">
        <f>Fluxo_de_Caixa_Janeiro[[#This Row],[Fluxo de Caixa 2026 CTR]]</f>
        <v>2.9 - CONTA PERDA/ROUBO E BONIFICAÇÃO FILIAL</v>
      </c>
      <c r="C19" s="62">
        <f>ABRIL!C353</f>
        <v>-8367.5</v>
      </c>
      <c r="D19" s="414">
        <f t="shared" si="0"/>
        <v>-1.6243286165004492E-2</v>
      </c>
      <c r="E19" s="627" t="e">
        <f>#REF!</f>
        <v>#REF!</v>
      </c>
      <c r="F19" s="31"/>
    </row>
    <row r="20" spans="1:10" x14ac:dyDescent="0.25">
      <c r="B20" s="625" t="str">
        <f>Fluxo_de_Caixa_Janeiro[[#This Row],[Fluxo de Caixa 2026 CTR]]</f>
        <v>4.0 - TESOURARIA FILIAL PORTO</v>
      </c>
      <c r="C20" s="62">
        <f>ABRIL!C354</f>
        <v>372.39</v>
      </c>
      <c r="D20" s="414">
        <f t="shared" si="0"/>
        <v>7.2289660412142487E-4</v>
      </c>
      <c r="E20" s="627" t="e">
        <f>#REF!</f>
        <v>#REF!</v>
      </c>
      <c r="F20" s="31"/>
    </row>
    <row r="21" spans="1:10" x14ac:dyDescent="0.25">
      <c r="B21" s="625" t="str">
        <f>Fluxo_de_Caixa_Janeiro[[#This Row],[Fluxo de Caixa 2026 CTR]]</f>
        <v>4.1 -  BANCO DO BRASIL C.C.61105-0 FILIAL PORTO</v>
      </c>
      <c r="C21" s="62">
        <f>ABRIL!C355</f>
        <v>308.02999999999997</v>
      </c>
      <c r="D21" s="414">
        <f t="shared" si="0"/>
        <v>5.9795870181133355E-4</v>
      </c>
      <c r="E21" s="627" t="e">
        <f>#REF!</f>
        <v>#REF!</v>
      </c>
      <c r="F21" s="31"/>
    </row>
    <row r="22" spans="1:10" hidden="1" x14ac:dyDescent="0.25">
      <c r="B22" s="625">
        <f>Fluxo_de_Caixa_Janeiro[[#This Row],[Fluxo de Caixa 2026 CTR]]</f>
        <v>0</v>
      </c>
      <c r="C22" s="62">
        <f>ABRIL!C356</f>
        <v>0</v>
      </c>
      <c r="D22" s="414" t="str">
        <f t="shared" si="0"/>
        <v>0,00%</v>
      </c>
      <c r="E22" s="627" t="e">
        <f>#REF!</f>
        <v>#REF!</v>
      </c>
      <c r="F22" s="31"/>
    </row>
    <row r="23" spans="1:10" x14ac:dyDescent="0.25">
      <c r="B23" s="625" t="str">
        <f>Fluxo_de_Caixa_Janeiro[[#This Row],[Fluxo de Caixa 2026 CTR]]</f>
        <v>4.4 - MERCADO PAGO PIX FILIAL PORTO</v>
      </c>
      <c r="C23" s="62">
        <f>ABRIL!C357</f>
        <v>6468.92</v>
      </c>
      <c r="D23" s="414">
        <f t="shared" si="0"/>
        <v>1.2557695696267806E-2</v>
      </c>
      <c r="E23" s="627" t="e">
        <f>#REF!</f>
        <v>#REF!</v>
      </c>
      <c r="F23" s="31"/>
    </row>
    <row r="24" spans="1:10" x14ac:dyDescent="0.25">
      <c r="B24" s="625" t="str">
        <f>Fluxo_de_Caixa_Janeiro[[#This Row],[Fluxo de Caixa 2026 CTR]]</f>
        <v>4.9 - CONTA PERDA/ROUBO E BONIFICAÇÃO FILIAL</v>
      </c>
      <c r="C24" s="62">
        <f>ABRIL!C358</f>
        <v>-29071.86</v>
      </c>
      <c r="D24" s="414">
        <f t="shared" si="0"/>
        <v>-5.6435320146871526E-2</v>
      </c>
      <c r="E24" s="627" t="e">
        <f>#REF!</f>
        <v>#REF!</v>
      </c>
      <c r="F24" s="31"/>
    </row>
    <row r="25" spans="1:10" x14ac:dyDescent="0.25">
      <c r="B25" s="625" t="str">
        <f>Fluxo_de_Caixa_Janeiro[[#This Row],[Fluxo de Caixa 2026 CTR]]</f>
        <v>91.CARTÃO ENDERED 5099+4596+6933+8072 - ESCRITORIO</v>
      </c>
      <c r="C25" s="62">
        <f>ABRIL!C359</f>
        <v>3055.0099999999998</v>
      </c>
      <c r="D25" s="414">
        <f t="shared" si="0"/>
        <v>5.930493178004227E-3</v>
      </c>
      <c r="E25" s="627" t="e">
        <f>#REF!</f>
        <v>#REF!</v>
      </c>
      <c r="F25" s="31"/>
    </row>
    <row r="26" spans="1:10" hidden="1" x14ac:dyDescent="0.25">
      <c r="B26" s="625">
        <f>Fluxo_de_Caixa_Janeiro[[#This Row],[Fluxo de Caixa 2026 CTR]]</f>
        <v>0</v>
      </c>
      <c r="C26" s="62">
        <f>ABRIL!C360</f>
        <v>0</v>
      </c>
      <c r="D26" s="414" t="str">
        <f t="shared" si="0"/>
        <v>0,00%</v>
      </c>
      <c r="E26" s="627" t="e">
        <f>#REF!</f>
        <v>#REF!</v>
      </c>
      <c r="F26" s="31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749225.37</v>
      </c>
      <c r="D27" s="416">
        <f>IFERROR(C27/C332,"")</f>
        <v>0.99894928546745199</v>
      </c>
      <c r="E27" s="308">
        <v>0.88526119449158447</v>
      </c>
      <c r="F27" s="32"/>
      <c r="H27" s="246">
        <f>H28+I28</f>
        <v>469275.64999999997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749225.37</v>
      </c>
      <c r="D28" s="418">
        <f>SUM(D29:D47)</f>
        <v>0.99894928546745199</v>
      </c>
      <c r="E28" s="309">
        <v>0.88251932897796925</v>
      </c>
      <c r="F28" s="32"/>
      <c r="H28" s="570">
        <f>SUM(H29:H36)</f>
        <v>1520.83</v>
      </c>
      <c r="I28" s="570">
        <f>SUM(I29:I36)</f>
        <v>467754.81999999995</v>
      </c>
      <c r="J28" s="570">
        <f>SUM(J29:J36)</f>
        <v>279949.71999999997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7136.5300000000007</v>
      </c>
      <c r="D29" s="420">
        <f t="shared" ref="D29:D47" si="1">IF(C29=0,"0,00%",C29/$C$332)</f>
        <v>9.5152030746329854E-3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>
        <v>4855.0200000000004</v>
      </c>
      <c r="J29" s="246">
        <v>2281.5100000000002</v>
      </c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106265.12</v>
      </c>
      <c r="D30" s="420">
        <f t="shared" si="1"/>
        <v>0.1416842914624114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G30" s="404">
        <f>C361</f>
        <v>-99.700000000069849</v>
      </c>
      <c r="I30" s="246">
        <v>83483.61</v>
      </c>
      <c r="J30" s="246">
        <v>22781.51</v>
      </c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>
        <v>0</v>
      </c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>
        <v>0</v>
      </c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>
        <v>0</v>
      </c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2"/>
        <v>98986.010000000009</v>
      </c>
      <c r="D34" s="420">
        <f t="shared" si="1"/>
        <v>0.13197898512269288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H34" s="246">
        <v>1520.83</v>
      </c>
      <c r="I34" s="246">
        <v>32944.28</v>
      </c>
      <c r="J34" s="246">
        <v>64520.9</v>
      </c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2"/>
        <v>536837.71</v>
      </c>
      <c r="D35" s="420">
        <f t="shared" si="1"/>
        <v>0.71577080580771468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>
        <v>346471.91</v>
      </c>
      <c r="J35" s="246">
        <v>190365.8</v>
      </c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25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-206362.87</v>
      </c>
      <c r="D52" s="424">
        <f>-IFERROR(C52/$C$27,"0,00")</f>
        <v>0.27543497359145752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-188553.74000000002</v>
      </c>
      <c r="I52" s="570">
        <f>-SUBTOTAL(109,I53:I59)</f>
        <v>0</v>
      </c>
      <c r="J52" s="570">
        <f>-SUBTOTAL(109,J53:J59)</f>
        <v>-17809.129999999997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200802.91</v>
      </c>
      <c r="D53" s="426">
        <f>IFERROR(C53/$C$27,"0,00%")</f>
        <v>0.26801402894298682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H53" s="246">
        <v>183644.29</v>
      </c>
      <c r="I53" s="246"/>
      <c r="J53" s="246">
        <v>17158.62</v>
      </c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>
        <f t="shared" ref="D54:D59" si="4">IFERROR(C54/$C$27,"0,00%")</f>
        <v>0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5559.96</v>
      </c>
      <c r="D55" s="426">
        <f t="shared" si="4"/>
        <v>7.4209446484707264E-3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H55" s="246">
        <v>4909.45</v>
      </c>
      <c r="I55" s="246"/>
      <c r="J55" s="246">
        <v>650.51</v>
      </c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>
        <f t="shared" si="4"/>
        <v>0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>
        <f t="shared" si="4"/>
        <v>0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25">
      <c r="B58" s="425">
        <f>Fluxo_de_Caixa_Janeiro[[#This Row],[Fluxo de Caixa 2026 CTR]]</f>
        <v>0</v>
      </c>
      <c r="C58" s="62"/>
      <c r="D58" s="426">
        <f t="shared" si="4"/>
        <v>0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>
        <f t="shared" si="4"/>
        <v>0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-4302.38</v>
      </c>
      <c r="D60" s="424">
        <f>-IFERROR(C60/$C$27,"0,00")</f>
        <v>5.7424376860062817E-3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-4302.38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 t="shared" ref="C61:C69" si="5">H61+I61+J61</f>
        <v>0</v>
      </c>
      <c r="D61" s="426">
        <f t="shared" ref="D61:D69" si="6">IFERROR(C61/$C$27,"0,00%")</f>
        <v>0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si="5"/>
        <v>0</v>
      </c>
      <c r="D62" s="426">
        <f t="shared" si="6"/>
        <v>0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5"/>
        <v>0</v>
      </c>
      <c r="D63" s="426">
        <f t="shared" si="6"/>
        <v>0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5"/>
        <v>0</v>
      </c>
      <c r="D64" s="426">
        <f t="shared" si="6"/>
        <v>0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5"/>
        <v>4302.38</v>
      </c>
      <c r="D65" s="426">
        <f t="shared" si="6"/>
        <v>5.7424376860062817E-3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H65" s="246">
        <v>4302.38</v>
      </c>
      <c r="I65" s="246"/>
      <c r="J65" s="246"/>
    </row>
    <row r="66" spans="1:10" hidden="1" x14ac:dyDescent="0.25">
      <c r="B66" s="425">
        <f>Fluxo_de_Caixa_Janeiro[[#This Row],[Fluxo de Caixa 2026 CTR]]</f>
        <v>0</v>
      </c>
      <c r="C66" s="62">
        <f t="shared" si="5"/>
        <v>0</v>
      </c>
      <c r="D66" s="426">
        <f t="shared" si="6"/>
        <v>0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25">
      <c r="B67" s="425">
        <f>Fluxo_de_Caixa_Janeiro[[#This Row],[Fluxo de Caixa 2026 CTR]]</f>
        <v>0</v>
      </c>
      <c r="C67" s="62">
        <f t="shared" si="5"/>
        <v>0</v>
      </c>
      <c r="D67" s="426">
        <f t="shared" si="6"/>
        <v>0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25">
      <c r="B68" s="425">
        <f>Fluxo_de_Caixa_Janeiro[[#This Row],[Fluxo de Caixa 2026 CTR]]</f>
        <v>0</v>
      </c>
      <c r="C68" s="62">
        <f t="shared" si="5"/>
        <v>0</v>
      </c>
      <c r="D68" s="426">
        <f t="shared" si="6"/>
        <v>0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5"/>
        <v>0</v>
      </c>
      <c r="D69" s="426">
        <f t="shared" si="6"/>
        <v>0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-48882.16</v>
      </c>
      <c r="D70" s="427">
        <f>-IFERROR(C70/$C$27,"0,00")</f>
        <v>6.5243599532674668E-2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-30451.33</v>
      </c>
      <c r="I70" s="570">
        <f>-SUBTOTAL(109,I71:I84)</f>
        <v>-3596.71</v>
      </c>
      <c r="J70" s="570">
        <f>-SUBTOTAL(109,J71:J84)</f>
        <v>-14834.12</v>
      </c>
    </row>
    <row r="71" spans="1:10" hidden="1" x14ac:dyDescent="0.25">
      <c r="B71" s="428">
        <f>Fluxo_de_Caixa_Janeiro[[#This Row],[Fluxo de Caixa 2026 CTR]]</f>
        <v>0</v>
      </c>
      <c r="C71" s="62"/>
      <c r="D71" s="426">
        <f t="shared" ref="D71:D84" si="7">IFERROR(C71/$C$27,"0,00%")</f>
        <v>0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>
        <f t="shared" si="7"/>
        <v>0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>
        <v>0</v>
      </c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>
        <f t="shared" si="7"/>
        <v>0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>
        <v>0</v>
      </c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>
        <f t="shared" si="7"/>
        <v>0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>
        <v>0</v>
      </c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8"/>
        <v>0</v>
      </c>
      <c r="D75" s="426">
        <f t="shared" si="7"/>
        <v>0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>
        <v>0</v>
      </c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8"/>
        <v>23555.599999999999</v>
      </c>
      <c r="D76" s="426">
        <f t="shared" si="7"/>
        <v>3.1439939093359848E-2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>
        <v>5785.85</v>
      </c>
      <c r="I76" s="284">
        <v>2935.63</v>
      </c>
      <c r="J76" s="284">
        <v>14834.12</v>
      </c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8"/>
        <v>9093.66</v>
      </c>
      <c r="D77" s="426">
        <f t="shared" si="7"/>
        <v>1.2137416008750478E-2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>
        <v>9093.66</v>
      </c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>
        <f t="shared" si="7"/>
        <v>0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>
        <v>0</v>
      </c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8"/>
        <v>377.71</v>
      </c>
      <c r="D79" s="426">
        <f t="shared" si="7"/>
        <v>5.0413402311777023E-4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>
        <v>377.71</v>
      </c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8"/>
        <v>0</v>
      </c>
      <c r="D80" s="426">
        <f t="shared" si="7"/>
        <v>0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8"/>
        <v>0</v>
      </c>
      <c r="D81" s="426">
        <f t="shared" si="7"/>
        <v>0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8"/>
        <v>15855.19</v>
      </c>
      <c r="D82" s="426">
        <f t="shared" si="7"/>
        <v>2.116211040744656E-2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>
        <v>15194.11</v>
      </c>
      <c r="I82" s="284">
        <v>661.08</v>
      </c>
      <c r="J82" s="284"/>
    </row>
    <row r="83" spans="1:10" hidden="1" x14ac:dyDescent="0.25">
      <c r="B83" s="428">
        <f>Fluxo_de_Caixa_Janeiro[[#This Row],[Fluxo de Caixa 2026 CTR]]</f>
        <v>0</v>
      </c>
      <c r="C83" s="62"/>
      <c r="D83" s="426">
        <f t="shared" si="7"/>
        <v>0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>
        <f t="shared" si="7"/>
        <v>0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-259547.41</v>
      </c>
      <c r="D85" s="430">
        <f>IFERROR(C85/C27,"0,00%")</f>
        <v>-0.34642101081013849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-223307.45</v>
      </c>
      <c r="I85" s="570">
        <f>-SUBTOTAL(109,I52:I84)</f>
        <v>-3596.71</v>
      </c>
      <c r="J85" s="570">
        <f>-SUBTOTAL(109,J52:J84)</f>
        <v>-32643.25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489677.95999999996</v>
      </c>
      <c r="D86" s="432">
        <f>IFERROR(C86/C27,"0,00%")</f>
        <v>0.65357898918986146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-33338.720000000001</v>
      </c>
      <c r="D88" s="436">
        <f>-IFERROR(C88/$C$27,"0,00")</f>
        <v>4.4497585552929153E-2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-31054.48</v>
      </c>
      <c r="I88" s="570">
        <f>-SUBTOTAL(109,I89:I99)</f>
        <v>-79.34</v>
      </c>
      <c r="J88" s="570">
        <f>-SUBTOTAL(109,J89:J99)</f>
        <v>-2204.9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3195</v>
      </c>
      <c r="D89" s="438">
        <f>IFERROR(C89/$C$27,"0,00%")</f>
        <v>4.2644044474895448E-3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H89" s="246">
        <v>3195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8" si="9">H90+I90+J90</f>
        <v>12132.12</v>
      </c>
      <c r="D90" s="438">
        <f t="shared" ref="D90:D99" si="10">IFERROR(C90/$C$27,"0,00%")</f>
        <v>1.6192884658991193E-2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H90" s="246">
        <v>12057.12</v>
      </c>
      <c r="I90" s="246"/>
      <c r="J90" s="246">
        <v>75</v>
      </c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9"/>
        <v>296.10000000000002</v>
      </c>
      <c r="D91" s="438">
        <f t="shared" si="10"/>
        <v>3.9520818682367901E-4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H91" s="246">
        <v>296.10000000000002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>
        <f t="shared" si="10"/>
        <v>0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9"/>
        <v>12104.98</v>
      </c>
      <c r="D93" s="438">
        <f t="shared" si="10"/>
        <v>1.6156660578645381E-2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H93" s="246">
        <v>12104.98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9"/>
        <v>1680</v>
      </c>
      <c r="D94" s="438">
        <f t="shared" si="10"/>
        <v>2.2423159536095259E-3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H94" s="246">
        <v>1680</v>
      </c>
      <c r="I94" s="246"/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9"/>
        <v>3846.24</v>
      </c>
      <c r="D95" s="438">
        <f t="shared" si="10"/>
        <v>5.1336222103637516E-3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H95" s="246">
        <v>1721.28</v>
      </c>
      <c r="I95" s="246">
        <v>79.34</v>
      </c>
      <c r="J95" s="246">
        <v>2045.62</v>
      </c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>
        <f t="shared" si="10"/>
        <v>0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>
        <f t="shared" si="10"/>
        <v>0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>
        <f t="shared" si="9"/>
        <v>84.28</v>
      </c>
      <c r="D98" s="438">
        <f t="shared" si="10"/>
        <v>1.124895170060779E-4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>
        <v>84.28</v>
      </c>
    </row>
    <row r="99" spans="1:10" hidden="1" x14ac:dyDescent="0.25">
      <c r="B99" s="437">
        <f>Fluxo_de_Caixa_Janeiro[[#This Row],[Fluxo de Caixa 2026 CTR]]</f>
        <v>0</v>
      </c>
      <c r="C99" s="62"/>
      <c r="D99" s="438">
        <f t="shared" si="10"/>
        <v>0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-71371.38</v>
      </c>
      <c r="D100" s="436">
        <f>-IFERROR(C100/$C$27,"0,00")</f>
        <v>9.5260228574480868E-2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-70867.23</v>
      </c>
      <c r="I100" s="570">
        <f>-SUBTOTAL(109,I101:I130)</f>
        <v>0</v>
      </c>
      <c r="J100" s="570">
        <f>-SUBTOTAL(109,J101:J130)</f>
        <v>-504.15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35053.78</v>
      </c>
      <c r="D101" s="438">
        <f t="shared" ref="D101:D130" si="11">IFERROR(C101/$C$27,"0,00%")</f>
        <v>4.6786696504951507E-2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H101" s="246">
        <v>35053.78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1660</v>
      </c>
      <c r="D102" s="438">
        <f t="shared" si="11"/>
        <v>2.2156217160665555E-3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H102" s="246">
        <v>1660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2"/>
        <v>1076.98</v>
      </c>
      <c r="D103" s="438">
        <f t="shared" si="11"/>
        <v>1.437457997451421E-3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H103" s="246">
        <v>1076.98</v>
      </c>
      <c r="I103" s="246"/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>
        <f t="shared" si="11"/>
        <v>0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2"/>
        <v>445.17</v>
      </c>
      <c r="D105" s="438">
        <f t="shared" si="11"/>
        <v>5.9417368635020999E-4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H105" s="246">
        <v>445.17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2"/>
        <v>6869.42</v>
      </c>
      <c r="D106" s="438">
        <f t="shared" si="11"/>
        <v>9.168696463121637E-3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H106" s="246">
        <v>6790.42</v>
      </c>
      <c r="I106" s="246"/>
      <c r="J106" s="246">
        <v>79</v>
      </c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2"/>
        <v>350</v>
      </c>
      <c r="D107" s="438">
        <f t="shared" si="11"/>
        <v>4.6714915700198458E-4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H107" s="246">
        <v>350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2"/>
        <v>3610</v>
      </c>
      <c r="D108" s="438">
        <f t="shared" si="11"/>
        <v>4.8183098765061843E-3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H108" s="246">
        <v>3610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>
        <f t="shared" si="11"/>
        <v>0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2"/>
        <v>0</v>
      </c>
      <c r="D110" s="438">
        <f t="shared" si="11"/>
        <v>0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2"/>
        <v>45.15</v>
      </c>
      <c r="D111" s="438">
        <f t="shared" si="11"/>
        <v>6.0262241253256013E-5</v>
      </c>
      <c r="E111" s="317">
        <v>2.00036758032117</v>
      </c>
      <c r="F111"/>
      <c r="I111" s="246"/>
      <c r="J111" s="246">
        <v>45.15</v>
      </c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2"/>
        <v>0</v>
      </c>
      <c r="D112" s="438">
        <f t="shared" si="11"/>
        <v>0</v>
      </c>
      <c r="E112" s="317">
        <v>3.00036758032117</v>
      </c>
      <c r="F112"/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2"/>
        <v>2865.4</v>
      </c>
      <c r="D113" s="438">
        <f t="shared" si="11"/>
        <v>3.8244834127813907E-3</v>
      </c>
      <c r="E113" s="317">
        <v>4.0003675803211696</v>
      </c>
      <c r="F113"/>
      <c r="H113" s="246">
        <v>2865.4</v>
      </c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2"/>
        <v>8759.4500000000007</v>
      </c>
      <c r="D114" s="438">
        <f t="shared" si="11"/>
        <v>1.1691341952288669E-2</v>
      </c>
      <c r="E114" s="317">
        <v>5.0003675803211696</v>
      </c>
      <c r="F114"/>
      <c r="H114" s="284">
        <v>8759.4500000000007</v>
      </c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2"/>
        <v>308</v>
      </c>
      <c r="D115" s="438">
        <f t="shared" si="11"/>
        <v>4.1109125816174647E-4</v>
      </c>
      <c r="E115" s="317">
        <v>6.0003675803211696</v>
      </c>
      <c r="F115"/>
      <c r="H115" s="246">
        <v>198</v>
      </c>
      <c r="I115" s="246"/>
      <c r="J115" s="246">
        <v>110</v>
      </c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>
        <f t="shared" si="11"/>
        <v>0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>
        <f t="shared" si="11"/>
        <v>0</v>
      </c>
      <c r="E117" s="317">
        <v>8.0003675803211696</v>
      </c>
      <c r="F117"/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2"/>
        <v>390</v>
      </c>
      <c r="D118" s="438">
        <f>IFERROR(C118/$C$27,"0,00%")</f>
        <v>5.2053763208792568E-4</v>
      </c>
      <c r="E118" s="317">
        <v>9.0003675803211696</v>
      </c>
      <c r="F118"/>
      <c r="H118" s="246">
        <v>120</v>
      </c>
      <c r="I118" s="246"/>
      <c r="J118" s="246">
        <v>270</v>
      </c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2"/>
        <v>0</v>
      </c>
      <c r="D119" s="438">
        <f t="shared" si="11"/>
        <v>0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2"/>
        <v>9589</v>
      </c>
      <c r="D120" s="438">
        <f t="shared" si="11"/>
        <v>1.279855218997723E-2</v>
      </c>
      <c r="E120" s="317" t="e">
        <f>#REF!</f>
        <v>#REF!</v>
      </c>
      <c r="F120"/>
      <c r="H120" s="246">
        <v>9589</v>
      </c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2"/>
        <v>349.03</v>
      </c>
      <c r="D121" s="438">
        <f t="shared" si="11"/>
        <v>4.6585448648115048E-4</v>
      </c>
      <c r="E121" s="317" t="e">
        <f>#REF!</f>
        <v>#REF!</v>
      </c>
      <c r="F121"/>
      <c r="H121" s="246">
        <v>349.03</v>
      </c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>
        <f t="shared" si="11"/>
        <v>0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>
        <f t="shared" si="11"/>
        <v>0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>
        <f t="shared" si="11"/>
        <v>0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>
        <f t="shared" si="11"/>
        <v>0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>
        <f t="shared" si="11"/>
        <v>0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>
        <f t="shared" si="11"/>
        <v>0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>
        <f t="shared" si="11"/>
        <v>0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>
        <f t="shared" si="11"/>
        <v>0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>
        <f t="shared" si="11"/>
        <v>0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-5281.52</v>
      </c>
      <c r="D131" s="436">
        <f>-IFERROR(C131/$C$27,"0,00")</f>
        <v>7.0493074733974908E-3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-4530.4699999999993</v>
      </c>
      <c r="I131" s="570">
        <f>-SUBTOTAL(109,I132:I144)</f>
        <v>-327.55</v>
      </c>
      <c r="J131" s="570">
        <f>-SUBTOTAL(109,J132:J144)</f>
        <v>-423.5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>
        <f t="shared" ref="D132:D144" si="13">IFERROR(C132/$C$27,"0,00%")</f>
        <v>0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4">H133+I133+J133</f>
        <v>0</v>
      </c>
      <c r="D133" s="438">
        <f t="shared" si="13"/>
        <v>0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4"/>
        <v>1800</v>
      </c>
      <c r="D134" s="438">
        <f t="shared" si="13"/>
        <v>2.4024813788673495E-3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H134" s="246">
        <v>1800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4"/>
        <v>3481.52</v>
      </c>
      <c r="D135" s="438">
        <f t="shared" si="13"/>
        <v>4.6468260945301413E-3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H135" s="246">
        <v>2730.47</v>
      </c>
      <c r="I135" s="246">
        <v>327.55</v>
      </c>
      <c r="J135" s="246">
        <v>423.5</v>
      </c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>
        <f t="shared" si="13"/>
        <v>0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>
        <f t="shared" si="13"/>
        <v>0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>
        <f t="shared" si="13"/>
        <v>0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>
        <f t="shared" si="13"/>
        <v>0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25">
      <c r="B140" s="437" t="str">
        <f>Fluxo_de_Caixa_Janeiro[[#This Row],[Fluxo de Caixa 2026 CTR]]</f>
        <v>3.3.09. Viagens e Estadias - CPD</v>
      </c>
      <c r="C140" s="62"/>
      <c r="D140" s="438">
        <f t="shared" si="13"/>
        <v>0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>
        <f t="shared" si="13"/>
        <v>0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>
        <f t="shared" si="13"/>
        <v>0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>
        <f t="shared" si="13"/>
        <v>0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>
        <f t="shared" si="13"/>
        <v>0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-11354.189999999999</v>
      </c>
      <c r="D145" s="436">
        <f>-IFERROR(C145/$C$27,"0,00")</f>
        <v>1.5154572248401037E-2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-10502.930000000004</v>
      </c>
      <c r="I145" s="570">
        <f>-SUBTOTAL(109,I146:I166)</f>
        <v>-627</v>
      </c>
      <c r="J145" s="570">
        <f>-SUBTOTAL(109,J146:J166)</f>
        <v>-224.26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2175.3900000000003</v>
      </c>
      <c r="D146" s="438">
        <f t="shared" ref="D146:D166" si="15">IFERROR(C146/$C$27,"0,00%")</f>
        <v>2.9035188704301354E-3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H146" s="246">
        <v>2098.13</v>
      </c>
      <c r="I146" s="246"/>
      <c r="J146" s="246">
        <v>77.260000000000005</v>
      </c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412.99</v>
      </c>
      <c r="D147" s="438">
        <f t="shared" si="15"/>
        <v>5.5122265814357032E-4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H147" s="246">
        <v>412.99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>
        <f t="shared" si="15"/>
        <v>0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6"/>
        <v>92.62</v>
      </c>
      <c r="D149" s="438">
        <f t="shared" si="15"/>
        <v>1.2362101406149662E-4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H149" s="246">
        <v>92.62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6"/>
        <v>0</v>
      </c>
      <c r="D150" s="438">
        <f t="shared" si="15"/>
        <v>0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6"/>
        <v>4490</v>
      </c>
      <c r="D151" s="438">
        <f t="shared" si="15"/>
        <v>5.9928563283968882E-3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H151" s="246">
        <v>4343</v>
      </c>
      <c r="I151" s="246"/>
      <c r="J151" s="246">
        <v>147</v>
      </c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6"/>
        <v>1500</v>
      </c>
      <c r="D152" s="438">
        <f t="shared" si="15"/>
        <v>2.0020678157227911E-3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H152" s="246">
        <v>1500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6"/>
        <v>1250</v>
      </c>
      <c r="D153" s="438">
        <f t="shared" si="15"/>
        <v>1.6683898464356593E-3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H153" s="246">
        <v>1250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6"/>
        <v>5642</v>
      </c>
      <c r="D154" s="438">
        <f t="shared" si="15"/>
        <v>7.5304444108719917E-3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H154" s="246">
        <v>5642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6"/>
        <v>1974.21</v>
      </c>
      <c r="D155" s="438">
        <f t="shared" si="15"/>
        <v>2.6350015349853942E-3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H155" s="246">
        <v>1347.21</v>
      </c>
      <c r="I155" s="246">
        <v>627</v>
      </c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6"/>
        <v>155.38999999999999</v>
      </c>
      <c r="D156" s="438">
        <f t="shared" si="15"/>
        <v>2.0740087859010965E-4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H156" s="246">
        <v>155.38999999999999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>
        <f t="shared" si="15"/>
        <v>0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6"/>
        <v>594.4</v>
      </c>
      <c r="D158" s="438">
        <f t="shared" si="15"/>
        <v>7.9335273977708463E-4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H158" s="246">
        <v>594.4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6"/>
        <v>794.25</v>
      </c>
      <c r="D159" s="438">
        <f t="shared" si="15"/>
        <v>1.060094908425218E-3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H159" s="246">
        <v>794.25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>
        <f t="shared" si="15"/>
        <v>0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6"/>
        <v>17831</v>
      </c>
      <c r="D161" s="438">
        <f t="shared" si="15"/>
        <v>2.3799247481435394E-2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H161" s="246">
        <v>17831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>
        <f t="shared" si="15"/>
        <v>0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6"/>
        <v>-25558.06</v>
      </c>
      <c r="D163" s="438">
        <f t="shared" si="15"/>
        <v>-3.4112646238874694E-2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H163" s="246">
        <v>-25558.06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>
        <f t="shared" si="15"/>
        <v>0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>
        <f t="shared" si="15"/>
        <v>0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>
        <f t="shared" si="15"/>
        <v>0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-29705.439999999999</v>
      </c>
      <c r="D167" s="436">
        <f>-IFERROR(C167/$C$27,"0,00")</f>
        <v>3.9648203583922952E-2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-13353.89</v>
      </c>
      <c r="I167" s="570">
        <f>-SUBTOTAL(109,I168:I181)</f>
        <v>0</v>
      </c>
      <c r="J167" s="570">
        <f>-SUBTOTAL(109,J168:J181)</f>
        <v>-16351.55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363.84</v>
      </c>
      <c r="D168" s="438">
        <f t="shared" ref="D168:D181" si="17">IFERROR(C168/$C$27,"0,00%")</f>
        <v>4.856215693817202E-4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H168" s="246">
        <v>363.84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4339.57</v>
      </c>
      <c r="D169" s="438">
        <f t="shared" si="17"/>
        <v>5.7920756207174347E-3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H169" s="246">
        <v>2218.02</v>
      </c>
      <c r="I169" s="246"/>
      <c r="J169" s="246">
        <v>2121.5500000000002</v>
      </c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8"/>
        <v>928.7</v>
      </c>
      <c r="D170" s="438">
        <f t="shared" si="17"/>
        <v>1.2395469203078375E-3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>
        <v>928.7</v>
      </c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8"/>
        <v>493.33</v>
      </c>
      <c r="D171" s="438">
        <f t="shared" si="17"/>
        <v>6.5845341035368303E-4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H171" s="246">
        <v>493.33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8"/>
        <v>14000</v>
      </c>
      <c r="D172" s="438">
        <f t="shared" si="17"/>
        <v>1.8685966280079385E-2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>
        <v>14000</v>
      </c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>
        <f t="shared" si="17"/>
        <v>0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8"/>
        <v>580</v>
      </c>
      <c r="D174" s="438">
        <f t="shared" si="17"/>
        <v>7.7413288874614587E-4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H174" s="246">
        <v>350</v>
      </c>
      <c r="I174" s="246"/>
      <c r="J174" s="246">
        <v>230</v>
      </c>
    </row>
    <row r="175" spans="1:10" hidden="1" x14ac:dyDescent="0.25">
      <c r="B175" s="437">
        <f>Fluxo_de_Caixa_Janeiro[[#This Row],[Fluxo de Caixa 2026 CTR]]</f>
        <v>0</v>
      </c>
      <c r="C175" s="62">
        <f t="shared" si="18"/>
        <v>0</v>
      </c>
      <c r="D175" s="438">
        <f t="shared" si="17"/>
        <v>0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>
        <f t="shared" si="17"/>
        <v>0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8"/>
        <v>9000</v>
      </c>
      <c r="D177" s="438">
        <f t="shared" si="17"/>
        <v>1.2012406894336747E-2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H177" s="246">
        <v>9000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>
        <f t="shared" si="17"/>
        <v>0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>
        <f t="shared" si="17"/>
        <v>0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>
        <f t="shared" si="17"/>
        <v>0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>
        <f t="shared" si="17"/>
        <v>0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-49700.920000000006</v>
      </c>
      <c r="D182" s="436">
        <f>-IFERROR(C182/$C$27,"0,00")</f>
        <v>6.633640822920879E-2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-49545.920000000006</v>
      </c>
      <c r="I182" s="570">
        <f>-SUBTOTAL(109,I183:I199)</f>
        <v>0</v>
      </c>
      <c r="J182" s="570">
        <f>-SUBTOTAL(109,J183:J199)</f>
        <v>-155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1686.44</v>
      </c>
      <c r="D183" s="438">
        <f t="shared" ref="D183:D199" si="19">IFERROR(C183/$C$27,"0,00%")</f>
        <v>2.2509114980983629E-3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H183" s="246">
        <v>1531.44</v>
      </c>
      <c r="I183" s="246"/>
      <c r="J183" s="246">
        <v>155</v>
      </c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>
        <f t="shared" si="19"/>
        <v>0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>
        <f t="shared" si="19"/>
        <v>0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0"/>
        <v>0</v>
      </c>
      <c r="D186" s="438">
        <f t="shared" si="19"/>
        <v>0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>
        <f t="shared" si="19"/>
        <v>0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0"/>
        <v>0</v>
      </c>
      <c r="D188" s="438">
        <f t="shared" si="19"/>
        <v>0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0"/>
        <v>0</v>
      </c>
      <c r="D189" s="438">
        <f t="shared" si="19"/>
        <v>0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0"/>
        <v>48014.48</v>
      </c>
      <c r="D190" s="438">
        <f t="shared" si="19"/>
        <v>6.4085496731110428E-2</v>
      </c>
      <c r="E190" s="317">
        <v>-6</v>
      </c>
      <c r="F190"/>
      <c r="H190" s="246">
        <v>48014.48</v>
      </c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>
        <f t="shared" si="19"/>
        <v>0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0"/>
        <v>0</v>
      </c>
      <c r="D192" s="438">
        <f t="shared" si="19"/>
        <v>0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0"/>
        <v>0</v>
      </c>
      <c r="D193" s="438">
        <f t="shared" si="19"/>
        <v>0</v>
      </c>
      <c r="E193" s="317">
        <v>-3</v>
      </c>
      <c r="F193"/>
      <c r="I193" s="246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>
        <f t="shared" si="19"/>
        <v>0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0"/>
        <v>0</v>
      </c>
      <c r="D195" s="438">
        <f t="shared" si="19"/>
        <v>0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>
        <f t="shared" si="19"/>
        <v>0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>
        <f t="shared" si="19"/>
        <v>0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>
        <f t="shared" si="19"/>
        <v>0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>
        <f t="shared" si="19"/>
        <v>0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-14044.69</v>
      </c>
      <c r="D200" s="436">
        <f>-IFERROR(C200/$C$27,"0,00")</f>
        <v>1.8745614553869153E-2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-12068.16</v>
      </c>
      <c r="I200" s="570">
        <f>-SUBTOTAL(109,I201:I211)</f>
        <v>0</v>
      </c>
      <c r="J200" s="570">
        <f>-SUBTOTAL(109,J201:J211)</f>
        <v>-1976.53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4920.66</v>
      </c>
      <c r="D201" s="438">
        <f t="shared" ref="D201:D211" si="21">IFERROR(C201/$C$27,"0,00%")</f>
        <v>6.5676633454096727E-3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H201" s="246">
        <v>2944.13</v>
      </c>
      <c r="I201" s="246"/>
      <c r="J201" s="246">
        <v>1976.53</v>
      </c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250</v>
      </c>
      <c r="D202" s="438">
        <f t="shared" si="21"/>
        <v>3.3367796928713184E-4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H202" s="246">
        <v>250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>
        <f t="shared" si="21"/>
        <v>0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2"/>
        <v>136.66999999999999</v>
      </c>
      <c r="D204" s="438">
        <f t="shared" si="21"/>
        <v>1.8241507224988924E-4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H204" s="246">
        <v>136.66999999999999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>
        <f t="shared" si="21"/>
        <v>0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2"/>
        <v>8617.36</v>
      </c>
      <c r="D206" s="438">
        <f t="shared" si="21"/>
        <v>1.1501692741664635E-2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H206" s="246">
        <v>8617.36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2"/>
        <v>120</v>
      </c>
      <c r="D207" s="438">
        <f t="shared" si="21"/>
        <v>1.6016542525782329E-4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H207" s="246">
        <v>120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2"/>
        <v>0</v>
      </c>
      <c r="D208" s="438">
        <f t="shared" si="21"/>
        <v>0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>
        <f t="shared" si="21"/>
        <v>0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>
        <f t="shared" si="21"/>
        <v>0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>
        <f t="shared" si="21"/>
        <v>0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>
        <f t="shared" ref="D213:D230" si="23">IFERROR(C213/$C$27,"0,00%")</f>
        <v>0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>
        <f t="shared" si="23"/>
        <v>0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v>0</v>
      </c>
      <c r="D215" s="438">
        <f t="shared" si="23"/>
        <v>0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4">H216+I216+J216</f>
        <v>0</v>
      </c>
      <c r="D216" s="438">
        <f t="shared" si="23"/>
        <v>0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4"/>
        <v>0</v>
      </c>
      <c r="D217" s="438">
        <f t="shared" si="23"/>
        <v>0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4"/>
        <v>0</v>
      </c>
      <c r="D218" s="438">
        <f t="shared" si="23"/>
        <v>0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4"/>
        <v>0</v>
      </c>
      <c r="D219" s="438">
        <f t="shared" si="23"/>
        <v>0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>
        <f t="shared" si="23"/>
        <v>0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>
        <f t="shared" si="23"/>
        <v>0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>
        <f t="shared" si="23"/>
        <v>0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>
        <f t="shared" si="23"/>
        <v>0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>
        <f t="shared" si="23"/>
        <v>0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>
        <f t="shared" si="23"/>
        <v>0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4"/>
        <v>0</v>
      </c>
      <c r="D226" s="438">
        <f t="shared" si="23"/>
        <v>0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4"/>
        <v>0</v>
      </c>
      <c r="D227" s="438">
        <f t="shared" si="23"/>
        <v>0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4"/>
        <v>0</v>
      </c>
      <c r="D228" s="438">
        <f t="shared" si="23"/>
        <v>0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>
        <f t="shared" si="23"/>
        <v>0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>
        <f t="shared" si="23"/>
        <v>0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>
        <f t="shared" ref="D232:D237" si="25">IFERROR(C232/$C$27,"0,00%")</f>
        <v>0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>
        <f t="shared" si="25"/>
        <v>0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>
        <f t="shared" si="25"/>
        <v>0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>
        <f t="shared" si="25"/>
        <v>0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-214796.86000000004</v>
      </c>
      <c r="D236" s="441">
        <f t="shared" si="25"/>
        <v>-0.28669192021620948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-191923.08000000002</v>
      </c>
      <c r="I236" s="570">
        <f>-SUBTOTAL(109,I88:I235)</f>
        <v>-1033.8899999999999</v>
      </c>
      <c r="J236" s="570">
        <f>-SUBTOTAL(109,J88:J235)</f>
        <v>-21839.89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274881.09999999992</v>
      </c>
      <c r="D237" s="443">
        <f t="shared" si="25"/>
        <v>0.36688706897365198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640" t="str">
        <f>Fluxo_de_Caixa_Janeiro[[#This Row],[Fluxo de Caixa 2026 CTR]]</f>
        <v>Receitas Não Operacionais Totais</v>
      </c>
      <c r="C238" s="349">
        <f>+SUBTOTAL(109,C239:C271)</f>
        <v>788.05</v>
      </c>
      <c r="D238" s="445">
        <f>SUM(D239,D248,D261)</f>
        <v>1.0507145325479642E-3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788.05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641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642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642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642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642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642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642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642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642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641" t="str">
        <f>Fluxo_de_Caixa_Janeiro[[#This Row],[Fluxo de Caixa 2026 CTR]]</f>
        <v>4.2. Receita de Investimento</v>
      </c>
      <c r="C248" s="341">
        <f>SUBTOTAL(109,C249:C260)</f>
        <v>788.05</v>
      </c>
      <c r="D248" s="418">
        <f t="shared" si="26"/>
        <v>1.0507145325479642E-3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788.05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642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642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642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642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642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642" t="str">
        <f>Fluxo_de_Caixa_Janeiro[[#This Row],[Fluxo de Caixa 2026 CTR]]</f>
        <v>4.2.06 Rendimentos CDB/Fundos/Alugueis</v>
      </c>
      <c r="C254" s="62">
        <f t="shared" si="28"/>
        <v>788.05</v>
      </c>
      <c r="D254" s="420">
        <f t="shared" si="26"/>
        <v>1.0507145325479642E-3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H254" s="246">
        <v>788.05</v>
      </c>
      <c r="I254" s="246"/>
      <c r="J254" s="246"/>
    </row>
    <row r="255" spans="2:10" x14ac:dyDescent="0.25">
      <c r="B255" s="642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642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642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642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642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642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641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/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25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642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-31458.48</v>
      </c>
      <c r="D273" s="436">
        <f>-IFERROR(C273/$C$332,"0,00")</f>
        <v>4.1943889484004161E-2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-31458.48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31458.48</v>
      </c>
      <c r="D274" s="450">
        <f t="shared" ref="D274:D293" si="30">IFERROR(C274/$C$332,"0,00%")</f>
        <v>4.1943889484004161E-2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H274" s="246">
        <v>31458.48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>
        <f t="shared" si="30"/>
        <v>0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>
        <f t="shared" si="30"/>
        <v>0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1"/>
        <v>0</v>
      </c>
      <c r="D277" s="450">
        <f t="shared" si="30"/>
        <v>0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>
        <f t="shared" si="30"/>
        <v>0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>
        <f t="shared" si="30"/>
        <v>0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>
        <f t="shared" si="30"/>
        <v>0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>
        <f t="shared" si="30"/>
        <v>0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>
        <f t="shared" si="30"/>
        <v>0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>
        <f t="shared" si="30"/>
        <v>0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>
        <f t="shared" si="30"/>
        <v>0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>
        <f t="shared" si="30"/>
        <v>0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>
        <f t="shared" si="30"/>
        <v>0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>
        <f t="shared" si="30"/>
        <v>0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>
        <f t="shared" si="30"/>
        <v>0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>
        <f t="shared" si="30"/>
        <v>0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>
        <f t="shared" si="30"/>
        <v>0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>
        <f t="shared" si="30"/>
        <v>0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>
        <f t="shared" si="30"/>
        <v>0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>
        <f t="shared" si="30"/>
        <v>0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-6695.82</v>
      </c>
      <c r="D294" s="436">
        <f>-IFERROR(C294/$C$332,"0,00")</f>
        <v>8.9276002554727618E-3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-6695.82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>
        <f t="shared" ref="D295:D311" si="32">IFERROR(C295/$C$332,"0,00%")</f>
        <v>0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>
        <f t="shared" si="32"/>
        <v>0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3"/>
        <v>0</v>
      </c>
      <c r="D297" s="450">
        <f t="shared" si="32"/>
        <v>0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3"/>
        <v>0</v>
      </c>
      <c r="D298" s="450">
        <f t="shared" si="32"/>
        <v>0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3"/>
        <v>669.64</v>
      </c>
      <c r="D299" s="450">
        <f t="shared" si="32"/>
        <v>8.9283735749688317E-4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H299" s="246">
        <v>669.64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3"/>
        <v>986.18</v>
      </c>
      <c r="D300" s="450">
        <f t="shared" si="32"/>
        <v>1.3148831390243656E-3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H300" s="246">
        <v>986.18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3"/>
        <v>5040</v>
      </c>
      <c r="D301" s="450">
        <f t="shared" si="32"/>
        <v>6.7198797589515125E-3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H301" s="246">
        <v>5040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>
        <f t="shared" si="32"/>
        <v>0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>
        <f t="shared" si="32"/>
        <v>0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>
        <f t="shared" si="32"/>
        <v>0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>
        <f t="shared" si="32"/>
        <v>0</v>
      </c>
      <c r="E305" s="329" t="e">
        <f>#REF!</f>
        <v>#REF!</v>
      </c>
      <c r="F305"/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>
        <f t="shared" si="32"/>
        <v>0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>
        <f t="shared" si="32"/>
        <v>0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>
        <f t="shared" si="32"/>
        <v>0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>
        <f t="shared" si="32"/>
        <v>0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>
        <f t="shared" si="32"/>
        <v>0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>
        <f t="shared" si="32"/>
        <v>0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>
        <f>IFERROR(C312/$C$332,"0,00%")</f>
        <v>0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>
        <f>IFERROR(C313/$C$332,"0,00%")</f>
        <v>0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>
        <f>IFERROR(C314/$C$332,"0,00%")</f>
        <v>0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-11423.84</v>
      </c>
      <c r="D315" s="436">
        <f>-IFERROR(C315/$C$332,"0,00")</f>
        <v>1.5231514124107271E-2</v>
      </c>
      <c r="E315" s="318">
        <v>8.1949891731061042E-2</v>
      </c>
      <c r="F315"/>
      <c r="H315" s="570">
        <f>-SUBTOTAL(109,H316:H321)</f>
        <v>-5000</v>
      </c>
      <c r="I315" s="570">
        <f>-SUBTOTAL(109,I316:I321)</f>
        <v>0</v>
      </c>
      <c r="J315" s="570">
        <f>-SUBTOTAL(109,J316:J321)</f>
        <v>-6423.84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>
        <f t="shared" ref="D316:D321" si="34">IFERROR(C316/$C$332,"0,00%")</f>
        <v>0</v>
      </c>
      <c r="E316" s="329" t="e">
        <f>#REF!</f>
        <v>#REF!</v>
      </c>
      <c r="F316"/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6423.84</v>
      </c>
      <c r="D317" s="450">
        <f t="shared" si="34"/>
        <v>8.5649667441950565E-3</v>
      </c>
      <c r="E317" s="329" t="e">
        <f>#REF!</f>
        <v>#REF!</v>
      </c>
      <c r="F317"/>
      <c r="I317" s="246"/>
      <c r="J317" s="246">
        <v>6423.84</v>
      </c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>
        <f t="shared" si="34"/>
        <v>0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>
        <f t="shared" si="34"/>
        <v>0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5"/>
        <v>5000</v>
      </c>
      <c r="D320" s="450">
        <f t="shared" si="34"/>
        <v>6.6665473799122146E-3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H320" s="246">
        <v>5000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>
        <f t="shared" si="34"/>
        <v>0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-8001.85</v>
      </c>
      <c r="D322" s="436">
        <f>-IFERROR(C322/$C$332,"0,00")</f>
        <v>1.0668942430390111E-2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-8001.85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>
        <f t="shared" ref="D323:D329" si="36">IFERROR(C323/$C$332,"0,00%")</f>
        <v>0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>
        <f t="shared" si="36"/>
        <v>0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8001.85</v>
      </c>
      <c r="D325" s="450">
        <f t="shared" si="36"/>
        <v>1.0668942430390111E-2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H325" s="246">
        <v>8001.85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>
        <f t="shared" si="36"/>
        <v>0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>
        <f t="shared" si="36"/>
        <v>0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>
        <f t="shared" si="36"/>
        <v>0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>
        <f t="shared" si="36"/>
        <v>0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-57579.99</v>
      </c>
      <c r="D330" s="452">
        <f>IFERROR(C330/(C27+C238),"0,00%")</f>
        <v>-7.6771946293974311E-2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-51156.149999999994</v>
      </c>
      <c r="I330" s="570">
        <f>-SUBTOTAL(109,I273:I329)</f>
        <v>0</v>
      </c>
      <c r="J330" s="570">
        <f>-SUBTOTAL(109,J273:J329)</f>
        <v>-6423.84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515135.91000000003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750013.42</v>
      </c>
      <c r="D332" s="456">
        <f>SUM(D27,D238)</f>
        <v>1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-531924.26</v>
      </c>
      <c r="D333" s="458">
        <f>IFERROR(C333/C332,"0,00%")</f>
        <v>-0.70921965636294881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-466386.68000000005</v>
      </c>
      <c r="I333" s="571">
        <f>SUM(I85,I236,I330)</f>
        <v>-4630.6000000000004</v>
      </c>
      <c r="J333" s="571">
        <f>SUM(J85,J236,J330)</f>
        <v>-60906.979999999996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218089.16000000003</v>
      </c>
      <c r="D334" s="460">
        <f>IFERROR(C334/C332,"0,00%")</f>
        <v>0.29078034363705124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2308.88</v>
      </c>
      <c r="I334" s="570">
        <f>I28+I238</f>
        <v>467754.81999999995</v>
      </c>
      <c r="J334" s="570">
        <f>J28+J238</f>
        <v>279949.71999999997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733225.07000000007</v>
      </c>
      <c r="D335" s="462">
        <f>IFERROR(C335/(C332+C331),"0,00%")</f>
        <v>0.57955614615074724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733125.37</v>
      </c>
      <c r="D336" s="412">
        <f>SUM(D337:D360)</f>
        <v>1</v>
      </c>
      <c r="E336" s="336">
        <v>1</v>
      </c>
      <c r="F336" s="34"/>
      <c r="I336" s="246"/>
    </row>
    <row r="337" spans="2:9" x14ac:dyDescent="0.25">
      <c r="B337" s="413" t="str">
        <f>Fluxo_de_Caixa_Janeiro[[#This Row],[Fluxo de Caixa 2026 CTR]]</f>
        <v>1.0 - TESOURARIA MATRIZ PALMAS</v>
      </c>
      <c r="C337" s="62">
        <v>595.79</v>
      </c>
      <c r="D337" s="414">
        <f>IFERROR(C337/$C$336,"0,00%")</f>
        <v>8.1267137161001527E-4</v>
      </c>
      <c r="E337" s="337">
        <v>0.29736693118255098</v>
      </c>
      <c r="F337" s="34"/>
      <c r="H337" s="246">
        <f>C3</f>
        <v>421.79</v>
      </c>
      <c r="I337" s="246"/>
    </row>
    <row r="338" spans="2:9" x14ac:dyDescent="0.25">
      <c r="B338" s="413" t="str">
        <f>Fluxo_de_Caixa_Janeiro[[#This Row],[Fluxo de Caixa 2026 CTR]]</f>
        <v>1.1 - BANCO DO BRASIL C.C.60409-7 MATRIZ</v>
      </c>
      <c r="C338" s="62">
        <v>137058.82</v>
      </c>
      <c r="D338" s="414">
        <f t="shared" ref="D338:D360" si="37">IFERROR(C338/$C$336,"0,00%")</f>
        <v>0.18695140777899966</v>
      </c>
      <c r="E338" s="337">
        <v>0.33251761890884102</v>
      </c>
      <c r="F338" s="34"/>
      <c r="H338" s="246">
        <f t="shared" ref="H338:H359" si="38">C4</f>
        <v>52517.95</v>
      </c>
      <c r="I338" s="246"/>
    </row>
    <row r="339" spans="2:9" hidden="1" x14ac:dyDescent="0.25">
      <c r="B339" s="413">
        <f>Fluxo_de_Caixa_Janeiro[[#This Row],[Fluxo de Caixa 2026 CTR]]</f>
        <v>0</v>
      </c>
      <c r="C339" s="62"/>
      <c r="D339" s="414">
        <f t="shared" si="37"/>
        <v>0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25">
      <c r="B340" s="413" t="str">
        <f>Fluxo_de_Caixa_Janeiro[[#This Row],[Fluxo de Caixa 2026 CTR]]</f>
        <v>1.2-BRADESCO 15232-3 MATRIZ</v>
      </c>
      <c r="C340" s="62">
        <v>28967.96</v>
      </c>
      <c r="D340" s="414">
        <f t="shared" si="37"/>
        <v>3.9512968975551892E-2</v>
      </c>
      <c r="E340" s="337">
        <v>0</v>
      </c>
      <c r="F340" s="34"/>
      <c r="H340" s="246">
        <f t="shared" si="38"/>
        <v>733.84</v>
      </c>
      <c r="I340" s="246"/>
    </row>
    <row r="341" spans="2:9" hidden="1" x14ac:dyDescent="0.25">
      <c r="B341" s="413">
        <f>Fluxo_de_Caixa_Janeiro[[#This Row],[Fluxo de Caixa 2026 CTR]]</f>
        <v>0</v>
      </c>
      <c r="C341" s="62"/>
      <c r="D341" s="414">
        <f t="shared" si="37"/>
        <v>0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25">
      <c r="B342" s="413" t="str">
        <f>Fluxo_de_Caixa_Janeiro[[#This Row],[Fluxo de Caixa 2026 CTR]]</f>
        <v>1.3 - BANCO STONE MATRIZ C.C 40256726-7</v>
      </c>
      <c r="C342" s="62">
        <v>0</v>
      </c>
      <c r="D342" s="414">
        <f t="shared" si="37"/>
        <v>0</v>
      </c>
      <c r="E342" s="337">
        <v>1.1641126229335877E-2</v>
      </c>
      <c r="F342" s="34"/>
      <c r="H342" s="246">
        <f t="shared" si="38"/>
        <v>0</v>
      </c>
      <c r="I342" s="246"/>
    </row>
    <row r="343" spans="2:9" x14ac:dyDescent="0.25">
      <c r="B343" s="413" t="str">
        <f>Fluxo_de_Caixa_Janeiro[[#This Row],[Fluxo de Caixa 2026 CTR]]</f>
        <v>1.4 - BANCO DA AMAZONIA 071730-7 MATRIZ</v>
      </c>
      <c r="C343" s="62">
        <v>2192.0700000000002</v>
      </c>
      <c r="D343" s="414">
        <f t="shared" si="37"/>
        <v>2.9900342965896816E-3</v>
      </c>
      <c r="E343" s="337">
        <v>2.4641733370120961E-2</v>
      </c>
      <c r="F343" s="34"/>
      <c r="H343" s="246">
        <f t="shared" si="38"/>
        <v>5306.88</v>
      </c>
      <c r="I343" s="246"/>
    </row>
    <row r="344" spans="2:9" x14ac:dyDescent="0.25">
      <c r="B344" s="413" t="str">
        <f>Fluxo_de_Caixa_Janeiro[[#This Row],[Fluxo de Caixa 2026 CTR]]</f>
        <v>1.4.1.INVESTIMENTO CDBORE RCP TXFL</v>
      </c>
      <c r="C344" s="62">
        <v>75309.53</v>
      </c>
      <c r="D344" s="414">
        <f t="shared" si="37"/>
        <v>0.10272394474631262</v>
      </c>
      <c r="E344" s="337">
        <v>0</v>
      </c>
      <c r="F344" s="34"/>
      <c r="H344" s="246">
        <f t="shared" si="38"/>
        <v>74541.539999999994</v>
      </c>
      <c r="I344" s="246"/>
    </row>
    <row r="345" spans="2:9" x14ac:dyDescent="0.25">
      <c r="B345" s="413" t="str">
        <f>Fluxo_de_Caixa_Janeiro[[#This Row],[Fluxo de Caixa 2026 CTR]]</f>
        <v>1.5 -  ITAU C.C.98671-6 MATRIZ</v>
      </c>
      <c r="C345" s="62">
        <v>456792.42</v>
      </c>
      <c r="D345" s="414">
        <f t="shared" si="37"/>
        <v>0.62307545024666111</v>
      </c>
      <c r="E345" s="337">
        <v>0</v>
      </c>
      <c r="F345" s="34"/>
      <c r="H345" s="246">
        <f t="shared" si="38"/>
        <v>367595.19</v>
      </c>
      <c r="I345" s="246"/>
    </row>
    <row r="346" spans="2:9" x14ac:dyDescent="0.25">
      <c r="B346" s="413" t="str">
        <f>Fluxo_de_Caixa_Janeiro[[#This Row],[Fluxo de Caixa 2026 CTR]]</f>
        <v>1.5.03. ITAU C.C 83290-2 GARANTIDA</v>
      </c>
      <c r="C346" s="62">
        <v>0</v>
      </c>
      <c r="D346" s="414">
        <f t="shared" si="37"/>
        <v>0</v>
      </c>
      <c r="E346" s="337">
        <v>0</v>
      </c>
      <c r="F346" s="34"/>
      <c r="H346" s="246">
        <f t="shared" si="38"/>
        <v>0</v>
      </c>
      <c r="I346" s="246"/>
    </row>
    <row r="347" spans="2:9" x14ac:dyDescent="0.25">
      <c r="B347" s="413" t="str">
        <f>Fluxo_de_Caixa_Janeiro[[#This Row],[Fluxo de Caixa 2026 CTR]]</f>
        <v>1.9 - CONTA PERDA/ROUBO/BONIFICAÇÃO E DOAÇÃO</v>
      </c>
      <c r="C347" s="62">
        <v>-25255.51</v>
      </c>
      <c r="D347" s="414">
        <f t="shared" si="37"/>
        <v>-3.4449101113497131E-2</v>
      </c>
      <c r="E347" s="337">
        <v>4.031448971430979E-3</v>
      </c>
      <c r="H347" s="246">
        <f t="shared" si="38"/>
        <v>-20953.13</v>
      </c>
      <c r="I347" s="246"/>
    </row>
    <row r="348" spans="2:9" hidden="1" x14ac:dyDescent="0.25">
      <c r="B348" s="413">
        <f>Fluxo_de_Caixa_Janeiro[[#This Row],[Fluxo de Caixa 2026 CTR]]</f>
        <v>0</v>
      </c>
      <c r="C348" s="62"/>
      <c r="D348" s="414">
        <f t="shared" si="37"/>
        <v>0</v>
      </c>
      <c r="E348" s="337" t="e">
        <f>#REF!</f>
        <v>#REF!</v>
      </c>
      <c r="H348" s="246">
        <f t="shared" si="38"/>
        <v>0</v>
      </c>
      <c r="I348" s="246"/>
    </row>
    <row r="349" spans="2:9" x14ac:dyDescent="0.25">
      <c r="B349" s="413" t="str">
        <f>Fluxo_de_Caixa_Janeiro[[#This Row],[Fluxo de Caixa 2026 CTR]]</f>
        <v>2.1 - BANCO DO BRASIL C.C.60638-3 FILIAL PALMAS</v>
      </c>
      <c r="C349" s="62">
        <v>87184.33</v>
      </c>
      <c r="D349" s="414">
        <f t="shared" si="37"/>
        <v>0.11892144722805051</v>
      </c>
      <c r="E349" s="337" t="e">
        <f>#REF!</f>
        <v>#REF!</v>
      </c>
      <c r="H349" s="246">
        <f t="shared" si="38"/>
        <v>62169.13</v>
      </c>
      <c r="I349" s="246"/>
    </row>
    <row r="350" spans="2:9" hidden="1" x14ac:dyDescent="0.25">
      <c r="B350" s="413">
        <f>Fluxo_de_Caixa_Janeiro[[#This Row],[Fluxo de Caixa 2026 CTR]]</f>
        <v>0</v>
      </c>
      <c r="C350" s="62"/>
      <c r="D350" s="414">
        <f t="shared" si="37"/>
        <v>0</v>
      </c>
      <c r="E350" s="337" t="e">
        <f>#REF!</f>
        <v>#REF!</v>
      </c>
      <c r="H350" s="246">
        <f t="shared" si="38"/>
        <v>0</v>
      </c>
      <c r="I350" s="246"/>
    </row>
    <row r="351" spans="2:9" hidden="1" x14ac:dyDescent="0.25">
      <c r="B351" s="413">
        <f>Fluxo_de_Caixa_Janeiro[[#This Row],[Fluxo de Caixa 2026 CTR]]</f>
        <v>0</v>
      </c>
      <c r="C351" s="62"/>
      <c r="D351" s="414">
        <f t="shared" si="37"/>
        <v>0</v>
      </c>
      <c r="E351" s="337" t="e">
        <f>#REF!</f>
        <v>#REF!</v>
      </c>
      <c r="H351" s="246">
        <f t="shared" si="38"/>
        <v>0</v>
      </c>
      <c r="I351" s="246"/>
    </row>
    <row r="352" spans="2:9" x14ac:dyDescent="0.25">
      <c r="B352" s="625" t="str">
        <f>Fluxo_de_Caixa_Janeiro[[#This Row],[Fluxo de Caixa 2026 CTR]]</f>
        <v>2.4 - ITAU C.C.98669-0 FILIAL PALMAS</v>
      </c>
      <c r="C352" s="626">
        <v>37.729999999999997</v>
      </c>
      <c r="D352" s="414">
        <f t="shared" si="37"/>
        <v>5.1464594657254869E-5</v>
      </c>
      <c r="E352" s="627" t="e">
        <f>#REF!</f>
        <v>#REF!</v>
      </c>
      <c r="H352" s="246">
        <f t="shared" si="38"/>
        <v>37.729999999999997</v>
      </c>
      <c r="I352" s="246"/>
    </row>
    <row r="353" spans="2:9" x14ac:dyDescent="0.25">
      <c r="B353" s="625" t="str">
        <f>Fluxo_de_Caixa_Janeiro[[#This Row],[Fluxo de Caixa 2026 CTR]]</f>
        <v>2.9 - CONTA PERDA/ROUBO E BONIFICAÇÃO FILIAL</v>
      </c>
      <c r="C353" s="626">
        <v>-8367.5</v>
      </c>
      <c r="D353" s="414">
        <f t="shared" si="37"/>
        <v>-1.1413463975472571E-2</v>
      </c>
      <c r="E353" s="627" t="e">
        <f>#REF!</f>
        <v>#REF!</v>
      </c>
      <c r="H353" s="246">
        <f t="shared" si="38"/>
        <v>-8367.5</v>
      </c>
      <c r="I353" s="246"/>
    </row>
    <row r="354" spans="2:9" x14ac:dyDescent="0.25">
      <c r="B354" s="625" t="str">
        <f>Fluxo_de_Caixa_Janeiro[[#This Row],[Fluxo de Caixa 2026 CTR]]</f>
        <v>4.0 - TESOURARIA FILIAL PORTO</v>
      </c>
      <c r="C354" s="626">
        <v>1465.27</v>
      </c>
      <c r="D354" s="414">
        <f t="shared" si="37"/>
        <v>1.9986622479044752E-3</v>
      </c>
      <c r="E354" s="627" t="e">
        <f>#REF!</f>
        <v>#REF!</v>
      </c>
      <c r="H354" s="246">
        <f t="shared" si="38"/>
        <v>372.39</v>
      </c>
      <c r="I354" s="246"/>
    </row>
    <row r="355" spans="2:9" x14ac:dyDescent="0.25">
      <c r="B355" s="625" t="str">
        <f>Fluxo_de_Caixa_Janeiro[[#This Row],[Fluxo de Caixa 2026 CTR]]</f>
        <v>4.1 -  BANCO DO BRASIL C.C.61105-0 FILIAL PORTO</v>
      </c>
      <c r="C355" s="626">
        <v>242.15</v>
      </c>
      <c r="D355" s="414">
        <f t="shared" si="37"/>
        <v>3.3029821352383428E-4</v>
      </c>
      <c r="E355" s="627" t="e">
        <f>#REF!</f>
        <v>#REF!</v>
      </c>
      <c r="H355" s="246">
        <f t="shared" si="38"/>
        <v>308.02999999999997</v>
      </c>
      <c r="I355" s="246"/>
    </row>
    <row r="356" spans="2:9" hidden="1" x14ac:dyDescent="0.25">
      <c r="B356" s="625">
        <f>Fluxo_de_Caixa_Janeiro[[#This Row],[Fluxo de Caixa 2026 CTR]]</f>
        <v>0</v>
      </c>
      <c r="C356" s="626"/>
      <c r="D356" s="414">
        <f t="shared" si="37"/>
        <v>0</v>
      </c>
      <c r="E356" s="627" t="e">
        <f>#REF!</f>
        <v>#REF!</v>
      </c>
      <c r="H356" s="246">
        <f t="shared" si="38"/>
        <v>0</v>
      </c>
      <c r="I356" s="246"/>
    </row>
    <row r="357" spans="2:9" x14ac:dyDescent="0.25">
      <c r="B357" s="625" t="str">
        <f>Fluxo_de_Caixa_Janeiro[[#This Row],[Fluxo de Caixa 2026 CTR]]</f>
        <v>4.4 - MERCADO PAGO PIX FILIAL PORTO</v>
      </c>
      <c r="C357" s="626">
        <v>1811.61</v>
      </c>
      <c r="D357" s="414">
        <f t="shared" si="37"/>
        <v>2.4710780367619796E-3</v>
      </c>
      <c r="E357" s="627" t="e">
        <f>#REF!</f>
        <v>#REF!</v>
      </c>
      <c r="H357" s="246">
        <f t="shared" si="38"/>
        <v>6468.92</v>
      </c>
      <c r="I357" s="246"/>
    </row>
    <row r="358" spans="2:9" x14ac:dyDescent="0.25">
      <c r="B358" s="625" t="str">
        <f>Fluxo_de_Caixa_Janeiro[[#This Row],[Fluxo de Caixa 2026 CTR]]</f>
        <v>4.9 - CONTA PERDA/ROUBO E BONIFICAÇÃO FILIAL</v>
      </c>
      <c r="C358" s="626">
        <v>-29071.86</v>
      </c>
      <c r="D358" s="414">
        <f t="shared" si="37"/>
        <v>-3.9654690984162778E-2</v>
      </c>
      <c r="E358" s="627" t="e">
        <f>#REF!</f>
        <v>#REF!</v>
      </c>
      <c r="H358" s="246">
        <f t="shared" si="38"/>
        <v>-29071.86</v>
      </c>
      <c r="I358" s="246"/>
    </row>
    <row r="359" spans="2:9" x14ac:dyDescent="0.25">
      <c r="B359" s="625" t="str">
        <f>Fluxo_de_Caixa_Janeiro[[#This Row],[Fluxo de Caixa 2026 CTR]]</f>
        <v>91.CARTÃO ENDERED 5099+4596+6933+8072 - ESCRITORIO</v>
      </c>
      <c r="C359" s="626">
        <f>3755.92+57.81+44+304.83</f>
        <v>4162.5600000000004</v>
      </c>
      <c r="D359" s="414">
        <f t="shared" si="37"/>
        <v>5.6778283365094846E-3</v>
      </c>
      <c r="E359" s="627" t="e">
        <f>#REF!</f>
        <v>#REF!</v>
      </c>
      <c r="H359" s="246">
        <f t="shared" si="38"/>
        <v>3055.0099999999998</v>
      </c>
      <c r="I359" s="246"/>
    </row>
    <row r="360" spans="2:9" hidden="1" x14ac:dyDescent="0.25">
      <c r="B360" s="625">
        <f>Fluxo_de_Caixa_Janeiro[[#This Row],[Fluxo de Caixa 2026 CTR]]</f>
        <v>0</v>
      </c>
      <c r="C360" s="626"/>
      <c r="D360" s="414">
        <f t="shared" si="37"/>
        <v>0</v>
      </c>
      <c r="E360" s="627" t="e">
        <f>#REF!</f>
        <v>#REF!</v>
      </c>
      <c r="H360" s="246">
        <f t="shared" ref="H338:H360" si="39">C26</f>
        <v>0</v>
      </c>
      <c r="I360" s="246"/>
    </row>
    <row r="361" spans="2:9" ht="24" thickBot="1" x14ac:dyDescent="0.4">
      <c r="B361" s="463"/>
      <c r="C361" s="464">
        <f>SUM(C337:C360)-C335</f>
        <v>-99.700000000069849</v>
      </c>
      <c r="D361" s="465">
        <f>IFERROR(C361/C336,"0,00%")</f>
        <v>-1.359931112465387E-4</v>
      </c>
      <c r="E361" s="338" t="e">
        <f>#REF!</f>
        <v>#REF!</v>
      </c>
      <c r="H361" s="246">
        <f>SUM(H337:H360)</f>
        <v>515135.91000000003</v>
      </c>
      <c r="I361" s="246"/>
    </row>
    <row r="362" spans="2:9" x14ac:dyDescent="0.25"/>
    <row r="363" spans="2:9" x14ac:dyDescent="0.25">
      <c r="C363" s="637"/>
    </row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  <row r="412" x14ac:dyDescent="0.25"/>
  </sheetData>
  <protectedRanges>
    <protectedRange sqref="C3:C26" name="Intervalo1"/>
    <protectedRange sqref="C344:C360" name="Saldo Final de Banco_2"/>
    <protectedRange sqref="C337:C343" name="Saldo Final de Banco_1_1"/>
  </protectedRanges>
  <phoneticPr fontId="23" type="noConversion"/>
  <conditionalFormatting sqref="C86">
    <cfRule type="cellIs" dxfId="570" priority="1" operator="lessThan">
      <formula>0</formula>
    </cfRule>
  </conditionalFormatting>
  <conditionalFormatting sqref="C237">
    <cfRule type="cellIs" dxfId="569" priority="2" operator="greaterThan">
      <formula>0</formula>
    </cfRule>
    <cfRule type="cellIs" dxfId="568" priority="3" operator="lessThan">
      <formula>0</formula>
    </cfRule>
    <cfRule type="cellIs" dxfId="567" priority="4" operator="greaterThan">
      <formula>0</formula>
    </cfRule>
  </conditionalFormatting>
  <conditionalFormatting sqref="C334">
    <cfRule type="cellIs" dxfId="566" priority="5" operator="lessThan">
      <formula>0</formula>
    </cfRule>
    <cfRule type="cellIs" dxfId="565" priority="6" operator="greaterThan">
      <formula>0</formula>
    </cfRule>
  </conditionalFormatting>
  <conditionalFormatting sqref="C335">
    <cfRule type="cellIs" dxfId="564" priority="7" operator="lessThan">
      <formula>0</formula>
    </cfRule>
    <cfRule type="cellIs" dxfId="563" priority="8" operator="greaterThan">
      <formula>0.001</formula>
    </cfRule>
    <cfRule type="cellIs" dxfId="562" priority="9" operator="lessThan">
      <formula>0</formula>
    </cfRule>
    <cfRule type="cellIs" dxfId="561" priority="10" operator="greaterThan">
      <formula>0</formula>
    </cfRule>
    <cfRule type="aboveAverage" dxfId="560" priority="11" aboveAverage="0"/>
  </conditionalFormatting>
  <conditionalFormatting sqref="D86">
    <cfRule type="cellIs" dxfId="559" priority="29" operator="lessThan">
      <formula>0</formula>
    </cfRule>
  </conditionalFormatting>
  <conditionalFormatting sqref="D237 D334">
    <cfRule type="cellIs" dxfId="558" priority="36" operator="greaterThan">
      <formula>0</formula>
    </cfRule>
  </conditionalFormatting>
  <conditionalFormatting sqref="D237">
    <cfRule type="cellIs" dxfId="557" priority="32" operator="lessThan">
      <formula>0</formula>
    </cfRule>
    <cfRule type="cellIs" dxfId="556" priority="31" operator="greaterThan">
      <formula>0</formula>
    </cfRule>
  </conditionalFormatting>
  <conditionalFormatting sqref="D334">
    <cfRule type="cellIs" dxfId="555" priority="35" operator="lessThan">
      <formula>0</formula>
    </cfRule>
  </conditionalFormatting>
  <conditionalFormatting sqref="D335">
    <cfRule type="cellIs" dxfId="554" priority="34" operator="greaterThan">
      <formula>0</formula>
    </cfRule>
    <cfRule type="cellIs" dxfId="553" priority="33" operator="lessThan">
      <formula>0</formula>
    </cfRule>
    <cfRule type="cellIs" dxfId="552" priority="30" operator="greaterThan">
      <formula>0</formula>
    </cfRule>
    <cfRule type="aboveAverage" dxfId="551" priority="37" aboveAverage="0"/>
  </conditionalFormatting>
  <conditionalFormatting sqref="E86">
    <cfRule type="cellIs" dxfId="550" priority="20" operator="lessThan">
      <formula>0</formula>
    </cfRule>
  </conditionalFormatting>
  <conditionalFormatting sqref="E237 E334">
    <cfRule type="cellIs" dxfId="549" priority="27" operator="greaterThan">
      <formula>0</formula>
    </cfRule>
  </conditionalFormatting>
  <conditionalFormatting sqref="E237">
    <cfRule type="cellIs" dxfId="548" priority="23" operator="lessThan">
      <formula>0</formula>
    </cfRule>
    <cfRule type="cellIs" dxfId="547" priority="22" operator="greaterThan">
      <formula>0</formula>
    </cfRule>
  </conditionalFormatting>
  <conditionalFormatting sqref="E334">
    <cfRule type="cellIs" dxfId="546" priority="26" operator="lessThan">
      <formula>0</formula>
    </cfRule>
  </conditionalFormatting>
  <conditionalFormatting sqref="E335">
    <cfRule type="aboveAverage" dxfId="545" priority="28" aboveAverage="0"/>
    <cfRule type="cellIs" dxfId="544" priority="21" operator="greaterThan">
      <formula>0</formula>
    </cfRule>
    <cfRule type="cellIs" dxfId="543" priority="24" operator="lessThan">
      <formula>0</formula>
    </cfRule>
    <cfRule type="cellIs" dxfId="542" priority="25" operator="greaterThan">
      <formula>0</formula>
    </cfRule>
  </conditionalFormatting>
  <conditionalFormatting sqref="F27">
    <cfRule type="iconSet" priority="123">
      <iconSet>
        <cfvo type="percent" val="0"/>
        <cfvo type="percent" val="33"/>
        <cfvo type="percent" val="67"/>
      </iconSet>
    </cfRule>
    <cfRule type="iconSet" priority="118">
      <iconSet iconSet="3Arrows">
        <cfvo type="percent" val="0"/>
        <cfvo type="percent" val="$F$27&lt;=0"/>
        <cfvo type="percent" val="$F$27&gt;=0"/>
      </iconSet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41" priority="120" operator="containsText" text="FALSO">
      <formula>NOT(ISERROR(SEARCH("FALSO",F27)))</formula>
    </cfRule>
    <cfRule type="containsText" dxfId="540" priority="121" operator="containsText" text="VERDADEIRO">
      <formula>NOT(ISERROR(SEARCH("VERDADEIRO",F27)))</formula>
    </cfRule>
    <cfRule type="iconSet" priority="122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539" priority="40" operator="containsText" text="FALSO">
      <formula>NOT(ISERROR(SEARCH("FALSO",F28)))</formula>
    </cfRule>
    <cfRule type="containsText" dxfId="538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537" priority="17" operator="containsText" text="Verd">
      <formula>NOT(ISERROR(SEARCH("Verd",F29)))</formula>
    </cfRule>
    <cfRule type="containsText" dxfId="536" priority="16" operator="containsText" text="Fals">
      <formula>NOT(ISERROR(SEARCH("Fals",F29)))</formula>
    </cfRule>
  </conditionalFormatting>
  <conditionalFormatting sqref="F49:F86">
    <cfRule type="containsText" dxfId="535" priority="15" operator="containsText" text="Verd">
      <formula>NOT(ISERROR(SEARCH("Verd",F49)))</formula>
    </cfRule>
    <cfRule type="containsText" dxfId="534" priority="14" operator="containsText" text="Fals">
      <formula>NOT(ISERROR(SEARCH("Fals",F49)))</formula>
    </cfRule>
  </conditionalFormatting>
  <conditionalFormatting sqref="F88:F271">
    <cfRule type="containsText" dxfId="533" priority="19" operator="containsText" text="Verd">
      <formula>NOT(ISERROR(SEARCH("Verd",F88)))</formula>
    </cfRule>
    <cfRule type="containsText" dxfId="532" priority="18" operator="containsText" text="Fals">
      <formula>NOT(ISERROR(SEARCH("Fals",F88)))</formula>
    </cfRule>
  </conditionalFormatting>
  <conditionalFormatting sqref="F273:F330">
    <cfRule type="containsText" dxfId="531" priority="13" operator="containsText" text="Verd">
      <formula>NOT(ISERROR(SEARCH("Verd",F273)))</formula>
    </cfRule>
    <cfRule type="containsText" dxfId="530" priority="12" operator="containsText" text="Fals">
      <formula>NOT(ISERROR(SEARCH("Fals",F273)))</formula>
    </cfRule>
  </conditionalFormatting>
  <pageMargins left="0.23622047244094491" right="0.23622047244094491" top="0.74803149606299213" bottom="0.74803149606299213" header="0.31496062992125984" footer="0.31496062992125984"/>
  <pageSetup paperSize="9" scale="52" fitToWidth="2" fitToHeight="3" orientation="portrait" r:id="rId1"/>
  <rowBreaks count="1" manualBreakCount="1">
    <brk id="237" min="1" max="14" man="1"/>
  </rowBreaks>
  <colBreaks count="1" manualBreakCount="1">
    <brk id="10" max="342" man="1"/>
  </colBreak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325" activePane="bottomRight" state="frozen"/>
      <selection pane="topRight" activeCell="B1" sqref="B1"/>
      <selection pane="bottomLeft" activeCell="A2" sqref="A2"/>
      <selection pane="bottomRight" activeCell="C337" sqref="C337:C359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140625" customWidth="1"/>
    <col min="8" max="8" width="21.7109375" style="246" customWidth="1"/>
    <col min="9" max="9" width="21.710937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153</v>
      </c>
      <c r="D1" s="410" t="s">
        <v>310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730895.57000000007</v>
      </c>
      <c r="D2" s="412">
        <f>SUM(D3:D26)</f>
        <v>1.0030507778286304</v>
      </c>
      <c r="E2" s="307"/>
      <c r="F2" s="31"/>
      <c r="H2" s="285"/>
    </row>
    <row r="3" spans="1:10" x14ac:dyDescent="0.25">
      <c r="B3" s="413" t="str">
        <f>Fluxo_de_Caixa_Janeiro[[#This Row],[Fluxo de Caixa 2026 CTR]]</f>
        <v>1.0 - TESOURARIA MATRIZ PALMAS</v>
      </c>
      <c r="C3" s="62">
        <f>MAIO!C337</f>
        <v>595.79</v>
      </c>
      <c r="D3" s="414">
        <f>IF(C3=0,"0,00%",C3/$C$2)</f>
        <v>8.1515065141248553E-4</v>
      </c>
      <c r="E3" s="66"/>
      <c r="F3" s="31"/>
    </row>
    <row r="4" spans="1:10" x14ac:dyDescent="0.25">
      <c r="B4" s="413" t="str">
        <f>Fluxo_de_Caixa_Janeiro[[#This Row],[Fluxo de Caixa 2026 CTR]]</f>
        <v>1.1 - BANCO DO BRASIL C.C.60409-7 MATRIZ</v>
      </c>
      <c r="C4" s="62">
        <f>MAIO!C338</f>
        <v>137058.82</v>
      </c>
      <c r="D4" s="414">
        <f t="shared" ref="D4:D26" si="0">IF(C4=0,"0,00%",C4/$C$2)</f>
        <v>0.18752175498888302</v>
      </c>
      <c r="E4" s="66"/>
      <c r="F4" s="31"/>
    </row>
    <row r="5" spans="1:10" hidden="1" x14ac:dyDescent="0.25">
      <c r="B5" s="413">
        <f>Fluxo_de_Caixa_Janeiro[[#This Row],[Fluxo de Caixa 2026 CTR]]</f>
        <v>0</v>
      </c>
      <c r="C5" s="62">
        <f>MAIO!C339</f>
        <v>0</v>
      </c>
      <c r="D5" s="414" t="str">
        <f t="shared" si="0"/>
        <v>0,00%</v>
      </c>
      <c r="E5" s="66"/>
      <c r="F5" s="31"/>
    </row>
    <row r="6" spans="1:10" x14ac:dyDescent="0.25">
      <c r="B6" s="413" t="str">
        <f>Fluxo_de_Caixa_Janeiro[[#This Row],[Fluxo de Caixa 2026 CTR]]</f>
        <v>1.2-BRADESCO 15232-3 MATRIZ</v>
      </c>
      <c r="C6" s="62">
        <f>MAIO!C340</f>
        <v>28967.96</v>
      </c>
      <c r="D6" s="414">
        <f t="shared" si="0"/>
        <v>3.9633514265245848E-2</v>
      </c>
      <c r="E6" s="66"/>
      <c r="F6" s="31"/>
    </row>
    <row r="7" spans="1:10" hidden="1" x14ac:dyDescent="0.25">
      <c r="B7" s="413">
        <f>Fluxo_de_Caixa_Janeiro[[#This Row],[Fluxo de Caixa 2026 CTR]]</f>
        <v>0</v>
      </c>
      <c r="C7" s="62">
        <f>MAIO!C341</f>
        <v>0</v>
      </c>
      <c r="D7" s="414" t="str">
        <f t="shared" si="0"/>
        <v>0,00%</v>
      </c>
      <c r="E7" s="66"/>
      <c r="F7" s="31"/>
    </row>
    <row r="8" spans="1:10" x14ac:dyDescent="0.25">
      <c r="B8" s="413" t="str">
        <f>Fluxo_de_Caixa_Janeiro[[#This Row],[Fluxo de Caixa 2026 CTR]]</f>
        <v>1.3 - BANCO STONE MATRIZ C.C 40256726-7</v>
      </c>
      <c r="C8" s="62">
        <f>MAIO!C342</f>
        <v>0</v>
      </c>
      <c r="D8" s="414" t="str">
        <f t="shared" si="0"/>
        <v>0,00%</v>
      </c>
      <c r="E8" s="66"/>
      <c r="F8" s="31"/>
    </row>
    <row r="9" spans="1:10" hidden="1" x14ac:dyDescent="0.25">
      <c r="B9" s="413" t="str">
        <f>Fluxo_de_Caixa_Janeiro[[#This Row],[Fluxo de Caixa 2026 CTR]]</f>
        <v>1.4 - BANCO DA AMAZONIA 071730-7 MATRIZ</v>
      </c>
      <c r="C9" s="62">
        <f>MAIO!C343</f>
        <v>2192.0700000000002</v>
      </c>
      <c r="D9" s="414">
        <f t="shared" si="0"/>
        <v>2.9991562269285612E-3</v>
      </c>
      <c r="E9" s="66"/>
      <c r="F9" s="31"/>
      <c r="I9" s="287"/>
    </row>
    <row r="10" spans="1:10" x14ac:dyDescent="0.25">
      <c r="B10" s="413" t="str">
        <f>Fluxo_de_Caixa_Janeiro[[#This Row],[Fluxo de Caixa 2026 CTR]]</f>
        <v>1.4.1.INVESTIMENTO CDBORE RCP TXFL</v>
      </c>
      <c r="C10" s="62">
        <f>MAIO!C344</f>
        <v>75309.53</v>
      </c>
      <c r="D10" s="414">
        <f t="shared" si="0"/>
        <v>0.10303733267941409</v>
      </c>
      <c r="E10" s="66"/>
      <c r="F10" s="31"/>
    </row>
    <row r="11" spans="1:10" x14ac:dyDescent="0.25">
      <c r="B11" s="413" t="str">
        <f>Fluxo_de_Caixa_Janeiro[[#This Row],[Fluxo de Caixa 2026 CTR]]</f>
        <v>1.5 -  ITAU C.C.98671-6 MATRIZ</v>
      </c>
      <c r="C11" s="62">
        <f>MAIO!C345</f>
        <v>456792.42</v>
      </c>
      <c r="D11" s="414">
        <f t="shared" si="0"/>
        <v>0.62497631501583728</v>
      </c>
      <c r="E11" s="66"/>
      <c r="F11" s="31"/>
    </row>
    <row r="12" spans="1:10" x14ac:dyDescent="0.25">
      <c r="B12" s="413" t="str">
        <f>Fluxo_de_Caixa_Janeiro[[#This Row],[Fluxo de Caixa 2026 CTR]]</f>
        <v>1.5.03. ITAU C.C 83290-2 GARANTIDA</v>
      </c>
      <c r="C12" s="62">
        <f>MAIO!C346</f>
        <v>0</v>
      </c>
      <c r="D12" s="414" t="str">
        <f t="shared" si="0"/>
        <v>0,00%</v>
      </c>
      <c r="E12" s="66"/>
      <c r="F12" s="31"/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MAIO!C347</f>
        <v>-25255.51</v>
      </c>
      <c r="D13" s="414">
        <f t="shared" si="0"/>
        <v>-3.4554197667390429E-2</v>
      </c>
      <c r="E13" s="66"/>
      <c r="F13" s="31"/>
    </row>
    <row r="14" spans="1:10" x14ac:dyDescent="0.25">
      <c r="B14" s="413">
        <f>Fluxo_de_Caixa_Janeiro[[#This Row],[Fluxo de Caixa 2026 CTR]]</f>
        <v>0</v>
      </c>
      <c r="C14" s="62">
        <f>MAIO!C348</f>
        <v>0</v>
      </c>
      <c r="D14" s="414" t="str">
        <f t="shared" si="0"/>
        <v>0,00%</v>
      </c>
      <c r="E14" s="66"/>
      <c r="F14" s="31"/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MAIO!C349</f>
        <v>87184.33</v>
      </c>
      <c r="D15" s="414">
        <f t="shared" si="0"/>
        <v>0.11928425014260244</v>
      </c>
      <c r="E15" s="66"/>
      <c r="F15" s="31"/>
    </row>
    <row r="16" spans="1:10" x14ac:dyDescent="0.25">
      <c r="B16" s="413">
        <f>Fluxo_de_Caixa_Janeiro[[#This Row],[Fluxo de Caixa 2026 CTR]]</f>
        <v>0</v>
      </c>
      <c r="C16" s="62">
        <f>MAIO!C350</f>
        <v>0</v>
      </c>
      <c r="D16" s="414" t="str">
        <f t="shared" si="0"/>
        <v>0,00%</v>
      </c>
      <c r="E16" s="66"/>
      <c r="F16" s="31"/>
    </row>
    <row r="17" spans="1:10" ht="15.75" thickBot="1" x14ac:dyDescent="0.3">
      <c r="B17" s="413">
        <f>Fluxo_de_Caixa_Janeiro[[#This Row],[Fluxo de Caixa 2026 CTR]]</f>
        <v>0</v>
      </c>
      <c r="C17" s="62">
        <f>MAIO!C351</f>
        <v>0</v>
      </c>
      <c r="D17" s="414" t="str">
        <f t="shared" si="0"/>
        <v>0,00%</v>
      </c>
      <c r="E17" s="67"/>
      <c r="F17" s="31"/>
    </row>
    <row r="18" spans="1:10" hidden="1" x14ac:dyDescent="0.25">
      <c r="B18" s="625" t="str">
        <f>Fluxo_de_Caixa_Janeiro[[#This Row],[Fluxo de Caixa 2026 CTR]]</f>
        <v>2.4 - ITAU C.C.98669-0 FILIAL PALMAS</v>
      </c>
      <c r="C18" s="62">
        <f>MAIO!C352</f>
        <v>37.729999999999997</v>
      </c>
      <c r="D18" s="414">
        <f t="shared" si="0"/>
        <v>5.1621601701594656E-5</v>
      </c>
      <c r="E18" s="627" t="e">
        <f>#REF!</f>
        <v>#REF!</v>
      </c>
      <c r="F18" s="31"/>
    </row>
    <row r="19" spans="1:10" x14ac:dyDescent="0.25">
      <c r="B19" s="625" t="str">
        <f>Fluxo_de_Caixa_Janeiro[[#This Row],[Fluxo de Caixa 2026 CTR]]</f>
        <v>2.9 - CONTA PERDA/ROUBO E BONIFICAÇÃO FILIAL</v>
      </c>
      <c r="C19" s="62">
        <f>MAIO!C353</f>
        <v>-8367.5</v>
      </c>
      <c r="D19" s="414">
        <f t="shared" si="0"/>
        <v>-1.1448283918316812E-2</v>
      </c>
      <c r="E19" s="627" t="e">
        <f>#REF!</f>
        <v>#REF!</v>
      </c>
      <c r="F19" s="31"/>
    </row>
    <row r="20" spans="1:10" x14ac:dyDescent="0.25">
      <c r="B20" s="625" t="str">
        <f>Fluxo_de_Caixa_Janeiro[[#This Row],[Fluxo de Caixa 2026 CTR]]</f>
        <v>4.0 - TESOURARIA FILIAL PORTO</v>
      </c>
      <c r="C20" s="62">
        <f>MAIO!C354</f>
        <v>1465.27</v>
      </c>
      <c r="D20" s="414">
        <f t="shared" si="0"/>
        <v>2.0047597223773021E-3</v>
      </c>
      <c r="E20" s="627" t="e">
        <f>#REF!</f>
        <v>#REF!</v>
      </c>
      <c r="F20" s="31"/>
    </row>
    <row r="21" spans="1:10" x14ac:dyDescent="0.25">
      <c r="B21" s="625" t="str">
        <f>Fluxo_de_Caixa_Janeiro[[#This Row],[Fluxo de Caixa 2026 CTR]]</f>
        <v>4.1 -  BANCO DO BRASIL C.C.61105-0 FILIAL PORTO</v>
      </c>
      <c r="C21" s="62">
        <f>MAIO!C355</f>
        <v>242.15</v>
      </c>
      <c r="D21" s="414">
        <f t="shared" si="0"/>
        <v>3.313058799904889E-4</v>
      </c>
      <c r="E21" s="627" t="e">
        <f>#REF!</f>
        <v>#REF!</v>
      </c>
      <c r="F21" s="31"/>
      <c r="J21" s="246"/>
    </row>
    <row r="22" spans="1:10" hidden="1" x14ac:dyDescent="0.25">
      <c r="B22" s="625">
        <f>Fluxo_de_Caixa_Janeiro[[#This Row],[Fluxo de Caixa 2026 CTR]]</f>
        <v>0</v>
      </c>
      <c r="C22" s="62">
        <f>MAIO!C356</f>
        <v>0</v>
      </c>
      <c r="D22" s="414" t="str">
        <f t="shared" si="0"/>
        <v>0,00%</v>
      </c>
      <c r="E22" s="627" t="e">
        <f>#REF!</f>
        <v>#REF!</v>
      </c>
      <c r="F22" s="31"/>
    </row>
    <row r="23" spans="1:10" x14ac:dyDescent="0.25">
      <c r="B23" s="625" t="str">
        <f>Fluxo_de_Caixa_Janeiro[[#This Row],[Fluxo de Caixa 2026 CTR]]</f>
        <v>4.4 - MERCADO PAGO PIX FILIAL PORTO</v>
      </c>
      <c r="C23" s="62">
        <f>MAIO!C357</f>
        <v>1811.61</v>
      </c>
      <c r="D23" s="414">
        <f t="shared" si="0"/>
        <v>2.4786167468493479E-3</v>
      </c>
      <c r="E23" s="627" t="e">
        <f>#REF!</f>
        <v>#REF!</v>
      </c>
      <c r="F23" s="31"/>
      <c r="I23" s="246"/>
      <c r="J23" s="246"/>
    </row>
    <row r="24" spans="1:10" x14ac:dyDescent="0.25">
      <c r="B24" s="625" t="str">
        <f>Fluxo_de_Caixa_Janeiro[[#This Row],[Fluxo de Caixa 2026 CTR]]</f>
        <v>4.9 - CONTA PERDA/ROUBO E BONIFICAÇÃO FILIAL</v>
      </c>
      <c r="C24" s="62">
        <f>MAIO!C358</f>
        <v>-29071.86</v>
      </c>
      <c r="D24" s="414">
        <f t="shared" si="0"/>
        <v>-3.9775668636218439E-2</v>
      </c>
      <c r="E24" s="627" t="e">
        <f>#REF!</f>
        <v>#REF!</v>
      </c>
      <c r="F24" s="31"/>
      <c r="J24" s="246"/>
    </row>
    <row r="25" spans="1:10" x14ac:dyDescent="0.25">
      <c r="B25" s="625" t="str">
        <f>Fluxo_de_Caixa_Janeiro[[#This Row],[Fluxo de Caixa 2026 CTR]]</f>
        <v>91.CARTÃO ENDERED 5099+4596+6933+8072 - ESCRITORIO</v>
      </c>
      <c r="C25" s="62">
        <f>MAIO!C359</f>
        <v>4162.5600000000004</v>
      </c>
      <c r="D25" s="414">
        <f t="shared" si="0"/>
        <v>5.6951501293132749E-3</v>
      </c>
      <c r="E25" s="627" t="e">
        <f>#REF!</f>
        <v>#REF!</v>
      </c>
      <c r="F25" s="31"/>
      <c r="I25" s="287"/>
      <c r="J25" s="246"/>
    </row>
    <row r="26" spans="1:10" hidden="1" x14ac:dyDescent="0.25">
      <c r="B26" s="625">
        <f>Fluxo_de_Caixa_Janeiro[[#This Row],[Fluxo de Caixa 2026 CTR]]</f>
        <v>0</v>
      </c>
      <c r="C26" s="62">
        <f>MAIO!C360</f>
        <v>0</v>
      </c>
      <c r="D26" s="414" t="str">
        <f t="shared" si="0"/>
        <v>0,00%</v>
      </c>
      <c r="E26" s="627" t="e">
        <f>#REF!</f>
        <v>#REF!</v>
      </c>
      <c r="F26" s="31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25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25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>H63+I63+J63</f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25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25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25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25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25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7" si="9">H90+I90+J90</f>
        <v>0</v>
      </c>
      <c r="D90" s="438" t="str">
        <f t="shared" ref="D90:D99" si="10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9"/>
        <v>0</v>
      </c>
      <c r="D91" s="438" t="str">
        <f t="shared" si="10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 t="str">
        <f t="shared" si="10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9"/>
        <v>0</v>
      </c>
      <c r="D93" s="438" t="str">
        <f t="shared" si="10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9"/>
        <v>0</v>
      </c>
      <c r="D94" s="438" t="str">
        <f t="shared" si="10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9"/>
        <v>0</v>
      </c>
      <c r="D95" s="438" t="str">
        <f t="shared" si="10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 t="str">
        <f t="shared" si="10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 t="str">
        <f t="shared" si="10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hidden="1" x14ac:dyDescent="0.25">
      <c r="B98" s="437" t="str">
        <f>Fluxo_de_Caixa_Janeiro[[#This Row],[Fluxo de Caixa 2026 CTR]]</f>
        <v>3.1.10. TARIFA PIX RECEBIDO</v>
      </c>
      <c r="C98" s="62"/>
      <c r="D98" s="438" t="str">
        <f t="shared" si="10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25">
      <c r="B99" s="437">
        <f>Fluxo_de_Caixa_Janeiro[[#This Row],[Fluxo de Caixa 2026 CTR]]</f>
        <v>0</v>
      </c>
      <c r="C99" s="62"/>
      <c r="D99" s="438" t="str">
        <f t="shared" si="10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25">
      <c r="B140" s="437" t="str">
        <f>Fluxo_de_Caixa_Janeiro[[#This Row],[Fluxo de Caixa 2026 CTR]]</f>
        <v>3.3.09. Viagens e Estadias - CPD</v>
      </c>
      <c r="C140" s="62"/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25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730895.57000000007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730895.57000000007</v>
      </c>
      <c r="D335" s="462">
        <f>IFERROR(C335/(C332+C331),"0,00%")</f>
        <v>1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SUM(D337:D360)</f>
        <v>0</v>
      </c>
      <c r="E336" s="336">
        <v>1</v>
      </c>
      <c r="F336" s="34"/>
      <c r="I336" s="246"/>
    </row>
    <row r="337" spans="2:9" x14ac:dyDescent="0.25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595.79</v>
      </c>
      <c r="I337" s="246"/>
    </row>
    <row r="338" spans="2:9" x14ac:dyDescent="0.25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60" si="38">C4</f>
        <v>137058.82</v>
      </c>
      <c r="I338" s="246"/>
    </row>
    <row r="339" spans="2:9" hidden="1" x14ac:dyDescent="0.25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25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28967.96</v>
      </c>
      <c r="I340" s="246"/>
    </row>
    <row r="341" spans="2:9" hidden="1" x14ac:dyDescent="0.25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25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hidden="1" x14ac:dyDescent="0.25">
      <c r="B343" s="413" t="str">
        <f>Fluxo_de_Caixa_Janeiro[[#This Row],[Fluxo de Caixa 2026 CTR]]</f>
        <v>1.4 - BANCO DA AMAZONIA 071730-7 MATRIZ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2192.0700000000002</v>
      </c>
      <c r="I343" s="246"/>
    </row>
    <row r="344" spans="2:9" x14ac:dyDescent="0.25">
      <c r="B344" s="413" t="str">
        <f>Fluxo_de_Caixa_Janeiro[[#This Row],[Fluxo de Caixa 2026 CTR]]</f>
        <v>1.4.1.INVESTIMENTO CDBORE RCP TXFL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75309.53</v>
      </c>
      <c r="I344" s="246"/>
    </row>
    <row r="345" spans="2:9" x14ac:dyDescent="0.25">
      <c r="B345" s="413" t="str">
        <f>Fluxo_de_Caixa_Janeiro[[#This Row],[Fluxo de Caixa 2026 CTR]]</f>
        <v>1.5 -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456792.42</v>
      </c>
      <c r="I345" s="246"/>
    </row>
    <row r="346" spans="2:9" x14ac:dyDescent="0.25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25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-25255.51</v>
      </c>
      <c r="I347" s="246"/>
    </row>
    <row r="348" spans="2:9" x14ac:dyDescent="0.25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25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87184.33</v>
      </c>
      <c r="I349" s="246"/>
    </row>
    <row r="350" spans="2:9" x14ac:dyDescent="0.25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25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hidden="1" x14ac:dyDescent="0.25">
      <c r="B352" s="625" t="str">
        <f>Fluxo_de_Caixa_Janeiro[[#This Row],[Fluxo de Caixa 2026 CTR]]</f>
        <v>2.4 - ITAU C.C.98669-0 FILIAL PALMAS</v>
      </c>
      <c r="C352" s="626"/>
      <c r="D352" s="414" t="str">
        <f t="shared" si="37"/>
        <v>0,00%</v>
      </c>
      <c r="E352" s="627" t="e">
        <f>#REF!</f>
        <v>#REF!</v>
      </c>
      <c r="H352" s="246">
        <f t="shared" si="38"/>
        <v>37.729999999999997</v>
      </c>
      <c r="I352" s="246"/>
    </row>
    <row r="353" spans="2:9" x14ac:dyDescent="0.25">
      <c r="B353" s="625" t="str">
        <f>Fluxo_de_Caixa_Janeiro[[#This Row],[Fluxo de Caixa 2026 CTR]]</f>
        <v>2.9 - CONTA PERDA/ROUBO E BONIFICAÇÃO FILIAL</v>
      </c>
      <c r="C353" s="626"/>
      <c r="D353" s="414" t="str">
        <f t="shared" si="37"/>
        <v>0,00%</v>
      </c>
      <c r="E353" s="627" t="e">
        <f>#REF!</f>
        <v>#REF!</v>
      </c>
      <c r="H353" s="246">
        <f t="shared" si="38"/>
        <v>-8367.5</v>
      </c>
      <c r="I353" s="246"/>
    </row>
    <row r="354" spans="2:9" x14ac:dyDescent="0.25">
      <c r="B354" s="625" t="str">
        <f>Fluxo_de_Caixa_Janeiro[[#This Row],[Fluxo de Caixa 2026 CTR]]</f>
        <v>4.0 - TESOURARIA FILIAL PORTO</v>
      </c>
      <c r="C354" s="626"/>
      <c r="D354" s="414" t="str">
        <f t="shared" si="37"/>
        <v>0,00%</v>
      </c>
      <c r="E354" s="627" t="e">
        <f>#REF!</f>
        <v>#REF!</v>
      </c>
      <c r="H354" s="246">
        <f t="shared" si="38"/>
        <v>1465.27</v>
      </c>
      <c r="I354" s="246"/>
    </row>
    <row r="355" spans="2:9" x14ac:dyDescent="0.25">
      <c r="B355" s="625" t="str">
        <f>Fluxo_de_Caixa_Janeiro[[#This Row],[Fluxo de Caixa 2026 CTR]]</f>
        <v>4.1 -  BANCO DO BRASIL C.C.61105-0 FILIAL PORTO</v>
      </c>
      <c r="C355" s="626"/>
      <c r="D355" s="414" t="str">
        <f t="shared" si="37"/>
        <v>0,00%</v>
      </c>
      <c r="E355" s="627" t="e">
        <f>#REF!</f>
        <v>#REF!</v>
      </c>
      <c r="H355" s="246">
        <f t="shared" si="38"/>
        <v>242.15</v>
      </c>
      <c r="I355" s="246"/>
    </row>
    <row r="356" spans="2:9" hidden="1" x14ac:dyDescent="0.25">
      <c r="B356" s="625">
        <f>Fluxo_de_Caixa_Janeiro[[#This Row],[Fluxo de Caixa 2026 CTR]]</f>
        <v>0</v>
      </c>
      <c r="C356" s="626"/>
      <c r="D356" s="414" t="str">
        <f t="shared" si="37"/>
        <v>0,00%</v>
      </c>
      <c r="E356" s="627" t="e">
        <f>#REF!</f>
        <v>#REF!</v>
      </c>
      <c r="H356" s="246">
        <f t="shared" si="38"/>
        <v>0</v>
      </c>
      <c r="I356" s="246"/>
    </row>
    <row r="357" spans="2:9" x14ac:dyDescent="0.25">
      <c r="B357" s="625" t="str">
        <f>Fluxo_de_Caixa_Janeiro[[#This Row],[Fluxo de Caixa 2026 CTR]]</f>
        <v>4.4 - MERCADO PAGO PIX FILIAL PORTO</v>
      </c>
      <c r="C357" s="626"/>
      <c r="D357" s="414" t="str">
        <f t="shared" si="37"/>
        <v>0,00%</v>
      </c>
      <c r="E357" s="627" t="e">
        <f>#REF!</f>
        <v>#REF!</v>
      </c>
      <c r="H357" s="246">
        <f t="shared" si="38"/>
        <v>1811.61</v>
      </c>
      <c r="I357" s="246"/>
    </row>
    <row r="358" spans="2:9" x14ac:dyDescent="0.25">
      <c r="B358" s="625" t="str">
        <f>Fluxo_de_Caixa_Janeiro[[#This Row],[Fluxo de Caixa 2026 CTR]]</f>
        <v>4.9 - CONTA PERDA/ROUBO E BONIFICAÇÃO FILIAL</v>
      </c>
      <c r="C358" s="626"/>
      <c r="D358" s="414" t="str">
        <f t="shared" si="37"/>
        <v>0,00%</v>
      </c>
      <c r="E358" s="627" t="e">
        <f>#REF!</f>
        <v>#REF!</v>
      </c>
      <c r="H358" s="246">
        <f t="shared" si="38"/>
        <v>-29071.86</v>
      </c>
      <c r="I358" s="246"/>
    </row>
    <row r="359" spans="2:9" x14ac:dyDescent="0.25">
      <c r="B359" s="625" t="str">
        <f>Fluxo_de_Caixa_Janeiro[[#This Row],[Fluxo de Caixa 2026 CTR]]</f>
        <v>91.CARTÃO ENDERED 5099+4596+6933+8072 - ESCRITORIO</v>
      </c>
      <c r="C359" s="626"/>
      <c r="D359" s="414" t="str">
        <f t="shared" si="37"/>
        <v>0,00%</v>
      </c>
      <c r="E359" s="627" t="e">
        <f>#REF!</f>
        <v>#REF!</v>
      </c>
      <c r="H359" s="246">
        <f t="shared" si="38"/>
        <v>4162.5600000000004</v>
      </c>
      <c r="I359" s="246"/>
    </row>
    <row r="360" spans="2:9" x14ac:dyDescent="0.25">
      <c r="B360" s="625">
        <f>Fluxo_de_Caixa_Janeiro[[#This Row],[Fluxo de Caixa 2026 CTR]]</f>
        <v>0</v>
      </c>
      <c r="C360" s="626"/>
      <c r="D360" s="414" t="str">
        <f t="shared" si="37"/>
        <v>0,00%</v>
      </c>
      <c r="E360" s="627" t="e">
        <f>#REF!</f>
        <v>#REF!</v>
      </c>
      <c r="H360" s="246">
        <f t="shared" si="38"/>
        <v>0</v>
      </c>
      <c r="I360" s="246"/>
    </row>
    <row r="361" spans="2:9" ht="24" thickBot="1" x14ac:dyDescent="0.4">
      <c r="B361" s="463"/>
      <c r="C361" s="464">
        <f>SUM(C337:C360)-C335</f>
        <v>-730895.57000000007</v>
      </c>
      <c r="D361" s="465" t="str">
        <f>IFERROR(C361/C336,"0,00%")</f>
        <v>0,00%</v>
      </c>
      <c r="E361" s="338" t="e">
        <f>#REF!</f>
        <v>#REF!</v>
      </c>
      <c r="H361" s="246">
        <f>SUM(H337:H360)</f>
        <v>733125.37</v>
      </c>
      <c r="I361" s="246"/>
    </row>
    <row r="362" spans="2:9" x14ac:dyDescent="0.25"/>
    <row r="363" spans="2:9" x14ac:dyDescent="0.25">
      <c r="C363" s="637">
        <f>C336+C358+C347</f>
        <v>0</v>
      </c>
    </row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</sheetData>
  <protectedRanges>
    <protectedRange sqref="C3:C26" name="Intervalo1"/>
    <protectedRange sqref="C344:C360" name="Saldo Final de Banco_2"/>
    <protectedRange sqref="C337:C343" name="Saldo Final de Banco_1_1"/>
  </protectedRanges>
  <conditionalFormatting sqref="C86">
    <cfRule type="cellIs" dxfId="529" priority="1" operator="lessThan">
      <formula>0</formula>
    </cfRule>
  </conditionalFormatting>
  <conditionalFormatting sqref="C237">
    <cfRule type="cellIs" dxfId="528" priority="2" operator="greaterThan">
      <formula>0</formula>
    </cfRule>
    <cfRule type="cellIs" dxfId="527" priority="3" operator="lessThan">
      <formula>0</formula>
    </cfRule>
    <cfRule type="cellIs" dxfId="526" priority="4" operator="greaterThan">
      <formula>0</formula>
    </cfRule>
  </conditionalFormatting>
  <conditionalFormatting sqref="C334">
    <cfRule type="cellIs" dxfId="525" priority="5" operator="lessThan">
      <formula>0</formula>
    </cfRule>
    <cfRule type="cellIs" dxfId="524" priority="6" operator="greaterThan">
      <formula>0</formula>
    </cfRule>
  </conditionalFormatting>
  <conditionalFormatting sqref="C335">
    <cfRule type="cellIs" dxfId="523" priority="7" operator="lessThan">
      <formula>0</formula>
    </cfRule>
    <cfRule type="cellIs" dxfId="522" priority="8" operator="greaterThan">
      <formula>0.001</formula>
    </cfRule>
    <cfRule type="cellIs" dxfId="521" priority="9" operator="lessThan">
      <formula>0</formula>
    </cfRule>
    <cfRule type="cellIs" dxfId="520" priority="10" operator="greaterThan">
      <formula>0</formula>
    </cfRule>
    <cfRule type="aboveAverage" dxfId="519" priority="11" aboveAverage="0"/>
  </conditionalFormatting>
  <conditionalFormatting sqref="D86">
    <cfRule type="cellIs" dxfId="518" priority="29" operator="lessThan">
      <formula>0</formula>
    </cfRule>
  </conditionalFormatting>
  <conditionalFormatting sqref="D237 D334">
    <cfRule type="cellIs" dxfId="517" priority="36" operator="greaterThan">
      <formula>0</formula>
    </cfRule>
  </conditionalFormatting>
  <conditionalFormatting sqref="D237">
    <cfRule type="cellIs" dxfId="516" priority="32" operator="lessThan">
      <formula>0</formula>
    </cfRule>
    <cfRule type="cellIs" dxfId="515" priority="31" operator="greaterThan">
      <formula>0</formula>
    </cfRule>
  </conditionalFormatting>
  <conditionalFormatting sqref="D334">
    <cfRule type="cellIs" dxfId="514" priority="35" operator="lessThan">
      <formula>0</formula>
    </cfRule>
  </conditionalFormatting>
  <conditionalFormatting sqref="D335">
    <cfRule type="cellIs" dxfId="513" priority="34" operator="greaterThan">
      <formula>0</formula>
    </cfRule>
    <cfRule type="cellIs" dxfId="512" priority="33" operator="lessThan">
      <formula>0</formula>
    </cfRule>
    <cfRule type="cellIs" dxfId="511" priority="30" operator="greaterThan">
      <formula>0</formula>
    </cfRule>
    <cfRule type="aboveAverage" dxfId="510" priority="37" aboveAverage="0"/>
  </conditionalFormatting>
  <conditionalFormatting sqref="E86">
    <cfRule type="cellIs" dxfId="509" priority="20" operator="lessThan">
      <formula>0</formula>
    </cfRule>
  </conditionalFormatting>
  <conditionalFormatting sqref="E237 E334">
    <cfRule type="cellIs" dxfId="508" priority="27" operator="greaterThan">
      <formula>0</formula>
    </cfRule>
  </conditionalFormatting>
  <conditionalFormatting sqref="E237">
    <cfRule type="cellIs" dxfId="507" priority="23" operator="lessThan">
      <formula>0</formula>
    </cfRule>
    <cfRule type="cellIs" dxfId="506" priority="22" operator="greaterThan">
      <formula>0</formula>
    </cfRule>
  </conditionalFormatting>
  <conditionalFormatting sqref="E334">
    <cfRule type="cellIs" dxfId="505" priority="26" operator="lessThan">
      <formula>0</formula>
    </cfRule>
  </conditionalFormatting>
  <conditionalFormatting sqref="E335">
    <cfRule type="aboveAverage" dxfId="504" priority="28" aboveAverage="0"/>
    <cfRule type="cellIs" dxfId="503" priority="21" operator="greaterThan">
      <formula>0</formula>
    </cfRule>
    <cfRule type="cellIs" dxfId="502" priority="24" operator="lessThan">
      <formula>0</formula>
    </cfRule>
    <cfRule type="cellIs" dxfId="501" priority="25" operator="greaterThan">
      <formula>0</formula>
    </cfRule>
  </conditionalFormatting>
  <conditionalFormatting sqref="F27">
    <cfRule type="iconSet" priority="123">
      <iconSet>
        <cfvo type="percent" val="0"/>
        <cfvo type="percent" val="33"/>
        <cfvo type="percent" val="67"/>
      </iconSet>
    </cfRule>
    <cfRule type="iconSet" priority="118">
      <iconSet iconSet="3Arrows">
        <cfvo type="percent" val="0"/>
        <cfvo type="percent" val="$F$27&lt;=0"/>
        <cfvo type="percent" val="$F$27&gt;=0"/>
      </iconSet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00" priority="120" operator="containsText" text="FALSO">
      <formula>NOT(ISERROR(SEARCH("FALSO",F27)))</formula>
    </cfRule>
    <cfRule type="containsText" dxfId="499" priority="121" operator="containsText" text="VERDADEIRO">
      <formula>NOT(ISERROR(SEARCH("VERDADEIRO",F27)))</formula>
    </cfRule>
    <cfRule type="iconSet" priority="122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498" priority="40" operator="containsText" text="FALSO">
      <formula>NOT(ISERROR(SEARCH("FALSO",F28)))</formula>
    </cfRule>
    <cfRule type="containsText" dxfId="497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496" priority="17" operator="containsText" text="Verd">
      <formula>NOT(ISERROR(SEARCH("Verd",F29)))</formula>
    </cfRule>
    <cfRule type="containsText" dxfId="495" priority="16" operator="containsText" text="Fals">
      <formula>NOT(ISERROR(SEARCH("Fals",F29)))</formula>
    </cfRule>
  </conditionalFormatting>
  <conditionalFormatting sqref="F49:F86">
    <cfRule type="containsText" dxfId="494" priority="15" operator="containsText" text="Verd">
      <formula>NOT(ISERROR(SEARCH("Verd",F49)))</formula>
    </cfRule>
    <cfRule type="containsText" dxfId="493" priority="14" operator="containsText" text="Fals">
      <formula>NOT(ISERROR(SEARCH("Fals",F49)))</formula>
    </cfRule>
  </conditionalFormatting>
  <conditionalFormatting sqref="F88:F271">
    <cfRule type="containsText" dxfId="492" priority="19" operator="containsText" text="Verd">
      <formula>NOT(ISERROR(SEARCH("Verd",F88)))</formula>
    </cfRule>
    <cfRule type="containsText" dxfId="491" priority="18" operator="containsText" text="Fals">
      <formula>NOT(ISERROR(SEARCH("Fals",F88)))</formula>
    </cfRule>
  </conditionalFormatting>
  <conditionalFormatting sqref="F273:F330">
    <cfRule type="containsText" dxfId="490" priority="13" operator="containsText" text="Verd">
      <formula>NOT(ISERROR(SEARCH("Verd",F273)))</formula>
    </cfRule>
    <cfRule type="containsText" dxfId="489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Width="3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737E-D9D7-4CBC-AE60-3C5FD3A46F4B}">
  <sheetPr>
    <tabColor rgb="FFFFFF00"/>
    <pageSetUpPr autoPageBreaks="0"/>
  </sheetPr>
  <dimension ref="A1:HM424"/>
  <sheetViews>
    <sheetView zoomScaleNormal="100" zoomScaleSheetLayoutView="100" workbookViewId="0">
      <pane xSplit="2" ySplit="1" topLeftCell="F2" activePane="bottomRight" state="frozen"/>
      <selection activeCell="G6" sqref="G6"/>
      <selection pane="topRight" activeCell="G6" sqref="G6"/>
      <selection pane="bottomLeft" activeCell="G6" sqref="G6"/>
      <selection pane="bottomRight" activeCell="P2" sqref="P2"/>
    </sheetView>
  </sheetViews>
  <sheetFormatPr defaultColWidth="0" defaultRowHeight="15" zeroHeight="1" x14ac:dyDescent="0.25"/>
  <cols>
    <col min="1" max="1" width="9.140625" hidden="1" customWidth="1"/>
    <col min="2" max="2" width="61.140625" customWidth="1"/>
    <col min="3" max="5" width="27.42578125" hidden="1" customWidth="1"/>
    <col min="6" max="8" width="27.42578125" customWidth="1"/>
    <col min="9" max="14" width="27.42578125" hidden="1" customWidth="1"/>
    <col min="15" max="15" width="30.5703125" style="246" bestFit="1" customWidth="1"/>
    <col min="16" max="16" width="15.5703125" style="6" bestFit="1" customWidth="1"/>
    <col min="17" max="17" width="15.5703125" style="9" customWidth="1"/>
    <col min="18" max="18" width="11.7109375" style="33" customWidth="1"/>
    <col min="19" max="19" width="23.5703125" bestFit="1" customWidth="1"/>
    <col min="20" max="20" width="13.7109375" customWidth="1"/>
    <col min="21" max="21" width="11.140625" customWidth="1"/>
    <col min="22" max="22" width="22.28515625" hidden="1" customWidth="1"/>
    <col min="23" max="23" width="20.140625" hidden="1" customWidth="1"/>
    <col min="24" max="24" width="24.7109375" hidden="1" customWidth="1"/>
    <col min="25" max="16384" width="9.140625" hidden="1"/>
  </cols>
  <sheetData>
    <row r="1" spans="1:18" ht="36.75" thickBot="1" x14ac:dyDescent="0.3">
      <c r="B1" s="408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79" t="s">
        <v>311</v>
      </c>
      <c r="Q1" s="61" t="s">
        <v>168</v>
      </c>
      <c r="R1" s="30"/>
    </row>
    <row r="2" spans="1:18" s="1" customFormat="1" ht="24" thickBot="1" x14ac:dyDescent="0.4">
      <c r="A2" s="10" t="s">
        <v>52</v>
      </c>
      <c r="B2" s="46" t="str">
        <f>Fluxo_de_Caixa_Janeiro[[#This Row],[Fluxo de Caixa 2026 CTR]]</f>
        <v>Disponíveis Nas Contas Movimento inicial</v>
      </c>
      <c r="C2" s="156"/>
      <c r="D2" s="156"/>
      <c r="E2" s="156"/>
      <c r="F2" s="156">
        <f>Fluxo_de_Caixa_Janeiro345[[#This Row],[ABRIL]]</f>
        <v>437595.5799999999</v>
      </c>
      <c r="G2" s="156">
        <f>Fluxo_de_Caixa_Janeiro3459[[#This Row],[MAIO]]</f>
        <v>515135.91000000003</v>
      </c>
      <c r="H2" s="154">
        <f>Fluxo_de_Caixa_Janeiro345911[[#This Row],[JUNHO]]</f>
        <v>730895.57000000007</v>
      </c>
      <c r="I2" s="156"/>
      <c r="J2" s="156"/>
      <c r="K2" s="156"/>
      <c r="L2" s="156"/>
      <c r="M2" s="156"/>
      <c r="N2" s="154"/>
      <c r="O2" s="207">
        <f>Fluxo_de_Caixa_Janeiro3102013[[#This Row],[Abril]]</f>
        <v>437595.5799999999</v>
      </c>
      <c r="P2" s="17">
        <f>SUM(P3:P26)</f>
        <v>2.9900469972754302</v>
      </c>
      <c r="Q2" s="65"/>
      <c r="R2" s="31"/>
    </row>
    <row r="3" spans="1:18" x14ac:dyDescent="0.25">
      <c r="B3" s="47" t="str">
        <f>Fluxo_de_Caixa_Janeiro[[#This Row],[Fluxo de Caixa 2026 CTR]]</f>
        <v>1.0 - TESOURARIA MATRIZ PALMAS</v>
      </c>
      <c r="C3" s="259"/>
      <c r="D3" s="260"/>
      <c r="E3" s="260"/>
      <c r="F3" s="260">
        <f>Fluxo_de_Caixa_Janeiro345[[#This Row],[ABRIL]]</f>
        <v>850.58</v>
      </c>
      <c r="G3" s="260">
        <f>Fluxo_de_Caixa_Janeiro3459[[#This Row],[MAIO]]</f>
        <v>421.79</v>
      </c>
      <c r="H3" s="261">
        <f>Fluxo_de_Caixa_Janeiro345911[[#This Row],[JUNHO]]</f>
        <v>595.79</v>
      </c>
      <c r="I3" s="298"/>
      <c r="J3" s="260"/>
      <c r="K3" s="260"/>
      <c r="L3" s="260"/>
      <c r="M3" s="260"/>
      <c r="N3" s="261"/>
      <c r="O3" s="208">
        <f>Fluxo_de_Caixa_Janeiro3102013[[#This Row],[Abril]]</f>
        <v>850.58</v>
      </c>
      <c r="P3" s="28">
        <f t="shared" ref="P3:P16" si="0">IF(O3=0,"0,00%",O3/$O$2)</f>
        <v>1.9437582070641578E-3</v>
      </c>
      <c r="Q3" s="66"/>
      <c r="R3" s="31"/>
    </row>
    <row r="4" spans="1:18" x14ac:dyDescent="0.25">
      <c r="B4" s="47" t="str">
        <f>Fluxo_de_Caixa_Janeiro[[#This Row],[Fluxo de Caixa 2026 CTR]]</f>
        <v>1.1 - BANCO DO BRASIL C.C.60409-7 MATRIZ</v>
      </c>
      <c r="C4" s="256"/>
      <c r="D4" s="262"/>
      <c r="E4" s="262"/>
      <c r="F4" s="262">
        <f>Fluxo_de_Caixa_Janeiro345[[#This Row],[ABRIL]]</f>
        <v>36651.07</v>
      </c>
      <c r="G4" s="262">
        <f>Fluxo_de_Caixa_Janeiro3459[[#This Row],[MAIO]]</f>
        <v>52517.95</v>
      </c>
      <c r="H4" s="263">
        <f>Fluxo_de_Caixa_Janeiro345911[[#This Row],[JUNHO]]</f>
        <v>137058.82</v>
      </c>
      <c r="I4" s="262"/>
      <c r="J4" s="262"/>
      <c r="K4" s="262"/>
      <c r="L4" s="262"/>
      <c r="M4" s="262"/>
      <c r="N4" s="263"/>
      <c r="O4" s="208">
        <f>Fluxo_de_Caixa_Janeiro3102013[[#This Row],[Abril]]</f>
        <v>36651.07</v>
      </c>
      <c r="P4" s="138">
        <f t="shared" si="0"/>
        <v>8.3755576324605494E-2</v>
      </c>
      <c r="Q4" s="66"/>
      <c r="R4" s="31"/>
    </row>
    <row r="5" spans="1:18" hidden="1" x14ac:dyDescent="0.25">
      <c r="B5" s="47">
        <f>Fluxo_de_Caixa_Janeiro[[#This Row],[Fluxo de Caixa 2026 CTR]]</f>
        <v>0</v>
      </c>
      <c r="C5" s="256"/>
      <c r="D5" s="262"/>
      <c r="E5" s="262"/>
      <c r="F5" s="262">
        <f>Fluxo_de_Caixa_Janeiro345[[#This Row],[ABRIL]]</f>
        <v>0</v>
      </c>
      <c r="G5" s="262">
        <f>Fluxo_de_Caixa_Janeiro3459[[#This Row],[MAIO]]</f>
        <v>0</v>
      </c>
      <c r="H5" s="263">
        <f>Fluxo_de_Caixa_Janeiro345911[[#This Row],[JUNHO]]</f>
        <v>0</v>
      </c>
      <c r="I5" s="262"/>
      <c r="J5" s="262"/>
      <c r="K5" s="262"/>
      <c r="L5" s="262"/>
      <c r="M5" s="262"/>
      <c r="N5" s="263"/>
      <c r="O5" s="208">
        <f>Fluxo_de_Caixa_Janeiro3102013[[#This Row],[Abril]]</f>
        <v>0</v>
      </c>
      <c r="P5" s="138" t="str">
        <f t="shared" si="0"/>
        <v>0,00%</v>
      </c>
      <c r="Q5" s="66"/>
      <c r="R5" s="31"/>
    </row>
    <row r="6" spans="1:18" x14ac:dyDescent="0.25">
      <c r="B6" s="47" t="str">
        <f>Fluxo_de_Caixa_Janeiro[[#This Row],[Fluxo de Caixa 2026 CTR]]</f>
        <v>1.2-BRADESCO 15232-3 MATRIZ</v>
      </c>
      <c r="C6" s="256"/>
      <c r="D6" s="262"/>
      <c r="E6" s="262"/>
      <c r="F6" s="262">
        <f>Fluxo_de_Caixa_Janeiro345[[#This Row],[ABRIL]]</f>
        <v>6785.01</v>
      </c>
      <c r="G6" s="262">
        <f>Fluxo_de_Caixa_Janeiro3459[[#This Row],[MAIO]]</f>
        <v>733.84</v>
      </c>
      <c r="H6" s="263">
        <f>Fluxo_de_Caixa_Janeiro345911[[#This Row],[JUNHO]]</f>
        <v>28967.96</v>
      </c>
      <c r="I6" s="262"/>
      <c r="J6" s="262"/>
      <c r="K6" s="262"/>
      <c r="L6" s="262"/>
      <c r="M6" s="262"/>
      <c r="N6" s="263"/>
      <c r="O6" s="208">
        <f>Fluxo_de_Caixa_Janeiro3102013[[#This Row],[Abril]]</f>
        <v>6785.01</v>
      </c>
      <c r="P6" s="138">
        <f t="shared" si="0"/>
        <v>1.550520688531635E-2</v>
      </c>
      <c r="Q6" s="66"/>
      <c r="R6" s="31"/>
    </row>
    <row r="7" spans="1:18" hidden="1" x14ac:dyDescent="0.25">
      <c r="B7" s="47">
        <f>Fluxo_de_Caixa_Janeiro[[#This Row],[Fluxo de Caixa 2026 CTR]]</f>
        <v>0</v>
      </c>
      <c r="C7" s="256"/>
      <c r="D7" s="262"/>
      <c r="E7" s="262"/>
      <c r="F7" s="262">
        <f>Fluxo_de_Caixa_Janeiro345[[#This Row],[ABRIL]]</f>
        <v>0</v>
      </c>
      <c r="G7" s="262">
        <f>Fluxo_de_Caixa_Janeiro3459[[#This Row],[MAIO]]</f>
        <v>0</v>
      </c>
      <c r="H7" s="263">
        <f>Fluxo_de_Caixa_Janeiro345911[[#This Row],[JUNHO]]</f>
        <v>0</v>
      </c>
      <c r="I7" s="262"/>
      <c r="J7" s="262"/>
      <c r="K7" s="262"/>
      <c r="L7" s="262"/>
      <c r="M7" s="262"/>
      <c r="N7" s="263"/>
      <c r="O7" s="208">
        <f>Fluxo_de_Caixa_Janeiro3102013[[#This Row],[Abril]]</f>
        <v>0</v>
      </c>
      <c r="P7" s="138" t="str">
        <f t="shared" si="0"/>
        <v>0,00%</v>
      </c>
      <c r="Q7" s="66"/>
      <c r="R7" s="31"/>
    </row>
    <row r="8" spans="1:18" x14ac:dyDescent="0.25">
      <c r="B8" s="47" t="str">
        <f>Fluxo_de_Caixa_Janeiro[[#This Row],[Fluxo de Caixa 2026 CTR]]</f>
        <v>1.3 - BANCO STONE MATRIZ C.C 40256726-7</v>
      </c>
      <c r="C8" s="256"/>
      <c r="D8" s="262"/>
      <c r="E8" s="262"/>
      <c r="F8" s="262">
        <f>Fluxo_de_Caixa_Janeiro345[[#This Row],[ABRIL]]</f>
        <v>0</v>
      </c>
      <c r="G8" s="262">
        <f>Fluxo_de_Caixa_Janeiro3459[[#This Row],[MAIO]]</f>
        <v>0</v>
      </c>
      <c r="H8" s="263">
        <f>Fluxo_de_Caixa_Janeiro345911[[#This Row],[JUNHO]]</f>
        <v>0</v>
      </c>
      <c r="I8" s="262"/>
      <c r="J8" s="262"/>
      <c r="K8" s="262"/>
      <c r="L8" s="262"/>
      <c r="M8" s="262"/>
      <c r="N8" s="263"/>
      <c r="O8" s="208">
        <f>Fluxo_de_Caixa_Janeiro3102013[[#This Row],[Abril]]</f>
        <v>0</v>
      </c>
      <c r="P8" s="138" t="str">
        <f t="shared" si="0"/>
        <v>0,00%</v>
      </c>
      <c r="Q8" s="66"/>
      <c r="R8" s="31"/>
    </row>
    <row r="9" spans="1:18" hidden="1" x14ac:dyDescent="0.25">
      <c r="B9" s="47" t="str">
        <f>Fluxo_de_Caixa_Janeiro[[#This Row],[Fluxo de Caixa 2026 CTR]]</f>
        <v>1.4 - BANCO DA AMAZONIA 071730-7 MATRIZ</v>
      </c>
      <c r="C9" s="256"/>
      <c r="D9" s="262"/>
      <c r="E9" s="262"/>
      <c r="F9" s="262">
        <f>Fluxo_de_Caixa_Janeiro345[[#This Row],[ABRIL]]</f>
        <v>304243.92</v>
      </c>
      <c r="G9" s="262">
        <f>Fluxo_de_Caixa_Janeiro3459[[#This Row],[MAIO]]</f>
        <v>5306.88</v>
      </c>
      <c r="H9" s="263">
        <f>Fluxo_de_Caixa_Janeiro345911[[#This Row],[JUNHO]]</f>
        <v>2192.0700000000002</v>
      </c>
      <c r="I9" s="262"/>
      <c r="J9" s="262"/>
      <c r="K9" s="262"/>
      <c r="L9" s="262"/>
      <c r="M9" s="262"/>
      <c r="N9" s="263"/>
      <c r="O9" s="208">
        <f>Fluxo_de_Caixa_Janeiro3102013[[#This Row],[Abril]]</f>
        <v>304243.92</v>
      </c>
      <c r="P9" s="138">
        <f t="shared" si="0"/>
        <v>0.69526278121913399</v>
      </c>
      <c r="Q9" s="66"/>
      <c r="R9" s="31"/>
    </row>
    <row r="10" spans="1:18" x14ac:dyDescent="0.25">
      <c r="B10" s="47" t="str">
        <f>Fluxo_de_Caixa_Janeiro[[#This Row],[Fluxo de Caixa 2026 CTR]]</f>
        <v>1.4.1.INVESTIMENTO CDBORE RCP TXFL</v>
      </c>
      <c r="C10" s="256"/>
      <c r="D10" s="262"/>
      <c r="E10" s="262"/>
      <c r="F10" s="262">
        <f>Fluxo_de_Caixa_Janeiro345[[#This Row],[ABRIL]]</f>
        <v>0</v>
      </c>
      <c r="G10" s="262">
        <f>Fluxo_de_Caixa_Janeiro3459[[#This Row],[MAIO]]</f>
        <v>74541.539999999994</v>
      </c>
      <c r="H10" s="263">
        <f>Fluxo_de_Caixa_Janeiro345911[[#This Row],[JUNHO]]</f>
        <v>75309.53</v>
      </c>
      <c r="I10" s="262"/>
      <c r="J10" s="262"/>
      <c r="K10" s="262"/>
      <c r="L10" s="262"/>
      <c r="M10" s="262"/>
      <c r="N10" s="263"/>
      <c r="O10" s="208">
        <f>Fluxo_de_Caixa_Janeiro3102013[[#This Row],[Abril]]</f>
        <v>0</v>
      </c>
      <c r="P10" s="138" t="str">
        <f t="shared" si="0"/>
        <v>0,00%</v>
      </c>
      <c r="Q10" s="66"/>
      <c r="R10" s="31"/>
    </row>
    <row r="11" spans="1:18" x14ac:dyDescent="0.25">
      <c r="B11" s="47" t="str">
        <f>Fluxo_de_Caixa_Janeiro[[#This Row],[Fluxo de Caixa 2026 CTR]]</f>
        <v>1.5 -  ITAU C.C.98671-6 MATRIZ</v>
      </c>
      <c r="C11" s="256"/>
      <c r="D11" s="262"/>
      <c r="E11" s="262"/>
      <c r="F11" s="262">
        <f>Fluxo_de_Caixa_Janeiro345[[#This Row],[ABRIL]]</f>
        <v>95802.27</v>
      </c>
      <c r="G11" s="262">
        <f>Fluxo_de_Caixa_Janeiro3459[[#This Row],[MAIO]]</f>
        <v>367595.19</v>
      </c>
      <c r="H11" s="263">
        <f>Fluxo_de_Caixa_Janeiro345911[[#This Row],[JUNHO]]</f>
        <v>456792.42</v>
      </c>
      <c r="I11" s="262"/>
      <c r="J11" s="262"/>
      <c r="K11" s="262"/>
      <c r="L11" s="262"/>
      <c r="M11" s="262"/>
      <c r="N11" s="263"/>
      <c r="O11" s="209">
        <f>SUM(Fluxo_de_Caixa_Janeiro3102013[[#This Row],[Janeiro]:[Dezembro]])</f>
        <v>920189.88</v>
      </c>
      <c r="P11" s="138">
        <f t="shared" si="0"/>
        <v>2.1028317516369799</v>
      </c>
      <c r="Q11" s="66"/>
      <c r="R11" s="31"/>
    </row>
    <row r="12" spans="1:18" x14ac:dyDescent="0.25">
      <c r="B12" s="47" t="str">
        <f>Fluxo_de_Caixa_Janeiro[[#This Row],[Fluxo de Caixa 2026 CTR]]</f>
        <v>1.5.03. ITAU C.C 83290-2 GARANTIDA</v>
      </c>
      <c r="C12" s="256"/>
      <c r="D12" s="262"/>
      <c r="E12" s="262"/>
      <c r="F12" s="262">
        <f>Fluxo_de_Caixa_Janeiro345[[#This Row],[ABRIL]]</f>
        <v>0</v>
      </c>
      <c r="G12" s="262">
        <f>Fluxo_de_Caixa_Janeiro3459[[#This Row],[MAIO]]</f>
        <v>0</v>
      </c>
      <c r="H12" s="263">
        <f>Fluxo_de_Caixa_Janeiro345911[[#This Row],[JUNHO]]</f>
        <v>0</v>
      </c>
      <c r="I12" s="262"/>
      <c r="J12" s="262"/>
      <c r="K12" s="262"/>
      <c r="L12" s="262"/>
      <c r="M12" s="262"/>
      <c r="N12" s="263"/>
      <c r="O12" s="209">
        <f>SUM(Fluxo_de_Caixa_Janeiro3102013[[#This Row],[Janeiro]:[Dezembro]])</f>
        <v>0</v>
      </c>
      <c r="P12" s="138" t="str">
        <f t="shared" si="0"/>
        <v>0,00%</v>
      </c>
      <c r="Q12" s="66"/>
      <c r="R12" s="31"/>
    </row>
    <row r="13" spans="1:18" x14ac:dyDescent="0.25">
      <c r="B13" s="47" t="str">
        <f>Fluxo_de_Caixa_Janeiro[[#This Row],[Fluxo de Caixa 2026 CTR]]</f>
        <v>1.9 - CONTA PERDA/ROUBO/BONIFICAÇÃO E DOAÇÃO</v>
      </c>
      <c r="C13" s="256"/>
      <c r="D13" s="262"/>
      <c r="E13" s="262"/>
      <c r="F13" s="262">
        <f>Fluxo_de_Caixa_Janeiro345[[#This Row],[ABRIL]]</f>
        <v>-20953.13</v>
      </c>
      <c r="G13" s="262">
        <f>Fluxo_de_Caixa_Janeiro3459[[#This Row],[MAIO]]</f>
        <v>-20953.13</v>
      </c>
      <c r="H13" s="263">
        <f>Fluxo_de_Caixa_Janeiro345911[[#This Row],[JUNHO]]</f>
        <v>-25255.51</v>
      </c>
      <c r="I13" s="262"/>
      <c r="J13" s="262"/>
      <c r="K13" s="262"/>
      <c r="L13" s="262"/>
      <c r="M13" s="262"/>
      <c r="N13" s="263"/>
      <c r="O13" s="209">
        <f>SUM(Fluxo_de_Caixa_Janeiro3102013[[#This Row],[Janeiro]:[Dezembro]])</f>
        <v>-67161.77</v>
      </c>
      <c r="P13" s="138">
        <f t="shared" si="0"/>
        <v>-0.15347908678602287</v>
      </c>
      <c r="Q13" s="66"/>
      <c r="R13" s="31"/>
    </row>
    <row r="14" spans="1:18" x14ac:dyDescent="0.25">
      <c r="B14" s="47">
        <f>Fluxo_de_Caixa_Janeiro[[#This Row],[Fluxo de Caixa 2026 CTR]]</f>
        <v>0</v>
      </c>
      <c r="C14" s="256"/>
      <c r="D14" s="262"/>
      <c r="E14" s="262"/>
      <c r="F14" s="262">
        <f>Fluxo_de_Caixa_Janeiro345[[#This Row],[ABRIL]]</f>
        <v>0</v>
      </c>
      <c r="G14" s="262">
        <f>Fluxo_de_Caixa_Janeiro3459[[#This Row],[MAIO]]</f>
        <v>0</v>
      </c>
      <c r="H14" s="263">
        <f>Fluxo_de_Caixa_Janeiro345911[[#This Row],[JUNHO]]</f>
        <v>0</v>
      </c>
      <c r="I14" s="262"/>
      <c r="J14" s="262"/>
      <c r="K14" s="262"/>
      <c r="L14" s="262"/>
      <c r="M14" s="262"/>
      <c r="N14" s="263"/>
      <c r="O14" s="209">
        <f>SUM(Fluxo_de_Caixa_Janeiro3102013[[#This Row],[Janeiro]:[Dezembro]])</f>
        <v>0</v>
      </c>
      <c r="P14" s="138" t="str">
        <f t="shared" si="0"/>
        <v>0,00%</v>
      </c>
      <c r="Q14" s="66"/>
      <c r="R14" s="31"/>
    </row>
    <row r="15" spans="1:18" x14ac:dyDescent="0.25">
      <c r="B15" s="47" t="str">
        <f>Fluxo_de_Caixa_Janeiro[[#This Row],[Fluxo de Caixa 2026 CTR]]</f>
        <v>2.1 - BANCO DO BRASIL C.C.60638-3 FILIAL PALMAS</v>
      </c>
      <c r="C15" s="256"/>
      <c r="D15" s="262"/>
      <c r="E15" s="262"/>
      <c r="F15" s="262">
        <f>Fluxo_de_Caixa_Janeiro345[[#This Row],[ABRIL]]</f>
        <v>33375.699999999997</v>
      </c>
      <c r="G15" s="262">
        <f>Fluxo_de_Caixa_Janeiro3459[[#This Row],[MAIO]]</f>
        <v>62169.13</v>
      </c>
      <c r="H15" s="263">
        <f>Fluxo_de_Caixa_Janeiro345911[[#This Row],[JUNHO]]</f>
        <v>87184.33</v>
      </c>
      <c r="I15" s="262"/>
      <c r="J15" s="262"/>
      <c r="K15" s="262"/>
      <c r="L15" s="262"/>
      <c r="M15" s="262"/>
      <c r="N15" s="263"/>
      <c r="O15" s="209">
        <f>SUM(Fluxo_de_Caixa_Janeiro3102013[[#This Row],[Janeiro]:[Dezembro]])</f>
        <v>182729.15999999997</v>
      </c>
      <c r="P15" s="138">
        <f t="shared" si="0"/>
        <v>0.41757542432215611</v>
      </c>
      <c r="Q15" s="66"/>
      <c r="R15" s="31"/>
    </row>
    <row r="16" spans="1:18" x14ac:dyDescent="0.25">
      <c r="B16" s="47">
        <f>Fluxo_de_Caixa_Janeiro[[#This Row],[Fluxo de Caixa 2026 CTR]]</f>
        <v>0</v>
      </c>
      <c r="C16" s="256"/>
      <c r="D16" s="262"/>
      <c r="E16" s="262"/>
      <c r="F16" s="262">
        <f>Fluxo_de_Caixa_Janeiro345[[#This Row],[ABRIL]]</f>
        <v>0</v>
      </c>
      <c r="G16" s="262">
        <f>Fluxo_de_Caixa_Janeiro3459[[#This Row],[MAIO]]</f>
        <v>0</v>
      </c>
      <c r="H16" s="263">
        <f>Fluxo_de_Caixa_Janeiro345911[[#This Row],[JUNHO]]</f>
        <v>0</v>
      </c>
      <c r="I16" s="262"/>
      <c r="J16" s="262"/>
      <c r="K16" s="262"/>
      <c r="L16" s="262"/>
      <c r="M16" s="262"/>
      <c r="N16" s="263"/>
      <c r="O16" s="209">
        <f>SUM(Fluxo_de_Caixa_Janeiro3102013[[#This Row],[Janeiro]:[Dezembro]])</f>
        <v>0</v>
      </c>
      <c r="P16" s="138" t="str">
        <f t="shared" si="0"/>
        <v>0,00%</v>
      </c>
      <c r="Q16" s="66"/>
      <c r="R16" s="31"/>
    </row>
    <row r="17" spans="1:18" x14ac:dyDescent="0.25">
      <c r="B17" s="47">
        <f>Fluxo_de_Caixa_Janeiro[[#This Row],[Fluxo de Caixa 2026 CTR]]</f>
        <v>0</v>
      </c>
      <c r="C17" s="256"/>
      <c r="D17" s="262"/>
      <c r="E17" s="262"/>
      <c r="F17" s="262">
        <f>Fluxo_de_Caixa_Janeiro345[[#This Row],[ABRIL]]</f>
        <v>0</v>
      </c>
      <c r="G17" s="262">
        <f>Fluxo_de_Caixa_Janeiro3459[[#This Row],[MAIO]]</f>
        <v>0</v>
      </c>
      <c r="H17" s="263">
        <f>Fluxo_de_Caixa_Janeiro345911[[#This Row],[JUNHO]]</f>
        <v>0</v>
      </c>
      <c r="I17" s="262"/>
      <c r="J17" s="262"/>
      <c r="K17" s="262"/>
      <c r="L17" s="262"/>
      <c r="M17" s="262"/>
      <c r="N17" s="263"/>
      <c r="O17" s="209">
        <f>SUM(Fluxo_de_Caixa_Janeiro3102013[[#This Row],[Janeiro]:[Dezembro]])</f>
        <v>0</v>
      </c>
      <c r="P17" s="138" t="str">
        <f t="shared" ref="P17:P26" si="1">IF(O17=0,"0,00%",O17/$O$2)</f>
        <v>0,00%</v>
      </c>
      <c r="Q17" s="66"/>
      <c r="R17" s="31"/>
    </row>
    <row r="18" spans="1:18" hidden="1" x14ac:dyDescent="0.25">
      <c r="B18" s="47" t="str">
        <f>Fluxo_de_Caixa_Janeiro[[#This Row],[Fluxo de Caixa 2026 CTR]]</f>
        <v>2.4 - ITAU C.C.98669-0 FILIAL PALMAS</v>
      </c>
      <c r="C18" s="256"/>
      <c r="D18" s="262"/>
      <c r="E18" s="262"/>
      <c r="F18" s="262">
        <f>Fluxo_de_Caixa_Janeiro345[[#This Row],[ABRIL]]</f>
        <v>37.729999999999997</v>
      </c>
      <c r="G18" s="262">
        <f>Fluxo_de_Caixa_Janeiro3459[[#This Row],[MAIO]]</f>
        <v>37.729999999999997</v>
      </c>
      <c r="H18" s="263">
        <f>Fluxo_de_Caixa_Janeiro345911[[#This Row],[JUNHO]]</f>
        <v>37.729999999999997</v>
      </c>
      <c r="I18" s="262"/>
      <c r="J18" s="262"/>
      <c r="K18" s="262"/>
      <c r="L18" s="262"/>
      <c r="M18" s="262"/>
      <c r="N18" s="263"/>
      <c r="O18" s="209">
        <f>SUM(Fluxo_de_Caixa_Janeiro3102013[[#This Row],[Janeiro]:[Dezembro]])</f>
        <v>113.19</v>
      </c>
      <c r="P18" s="138">
        <f t="shared" si="1"/>
        <v>2.5866349015682476E-4</v>
      </c>
      <c r="Q18" s="66"/>
      <c r="R18" s="31"/>
    </row>
    <row r="19" spans="1:18" x14ac:dyDescent="0.25">
      <c r="B19" s="47" t="str">
        <f>Fluxo_de_Caixa_Janeiro[[#This Row],[Fluxo de Caixa 2026 CTR]]</f>
        <v>2.9 - CONTA PERDA/ROUBO E BONIFICAÇÃO FILIAL</v>
      </c>
      <c r="C19" s="256"/>
      <c r="D19" s="262"/>
      <c r="E19" s="262"/>
      <c r="F19" s="262">
        <f>Fluxo_de_Caixa_Janeiro345[[#This Row],[ABRIL]]</f>
        <v>-8598.58</v>
      </c>
      <c r="G19" s="262">
        <f>Fluxo_de_Caixa_Janeiro3459[[#This Row],[MAIO]]</f>
        <v>-8367.5</v>
      </c>
      <c r="H19" s="263">
        <f>Fluxo_de_Caixa_Janeiro345911[[#This Row],[JUNHO]]</f>
        <v>-8367.5</v>
      </c>
      <c r="I19" s="262"/>
      <c r="J19" s="262"/>
      <c r="K19" s="262"/>
      <c r="L19" s="262"/>
      <c r="M19" s="262"/>
      <c r="N19" s="263"/>
      <c r="O19" s="209">
        <f>SUM(Fluxo_de_Caixa_Janeiro3102013[[#This Row],[Janeiro]:[Dezembro]])</f>
        <v>-25333.58</v>
      </c>
      <c r="P19" s="138">
        <f t="shared" si="1"/>
        <v>-5.7892677983630472E-2</v>
      </c>
      <c r="Q19" s="66"/>
      <c r="R19" s="31"/>
    </row>
    <row r="20" spans="1:18" x14ac:dyDescent="0.25">
      <c r="B20" s="47" t="str">
        <f>Fluxo_de_Caixa_Janeiro[[#This Row],[Fluxo de Caixa 2026 CTR]]</f>
        <v>4.0 - TESOURARIA FILIAL PORTO</v>
      </c>
      <c r="C20" s="256"/>
      <c r="D20" s="262"/>
      <c r="E20" s="262"/>
      <c r="F20" s="262">
        <f>Fluxo_de_Caixa_Janeiro345[[#This Row],[ABRIL]]</f>
        <v>534.16</v>
      </c>
      <c r="G20" s="262">
        <f>Fluxo_de_Caixa_Janeiro3459[[#This Row],[MAIO]]</f>
        <v>372.39</v>
      </c>
      <c r="H20" s="263">
        <f>Fluxo_de_Caixa_Janeiro345911[[#This Row],[JUNHO]]</f>
        <v>1465.27</v>
      </c>
      <c r="I20" s="262"/>
      <c r="J20" s="262"/>
      <c r="K20" s="262"/>
      <c r="L20" s="262"/>
      <c r="M20" s="262"/>
      <c r="N20" s="263"/>
      <c r="O20" s="209">
        <f>SUM(Fluxo_de_Caixa_Janeiro3102013[[#This Row],[Janeiro]:[Dezembro]])</f>
        <v>2371.8199999999997</v>
      </c>
      <c r="P20" s="138">
        <f t="shared" si="1"/>
        <v>5.4201187315466035E-3</v>
      </c>
      <c r="Q20" s="66"/>
      <c r="R20" s="31"/>
    </row>
    <row r="21" spans="1:18" x14ac:dyDescent="0.25">
      <c r="B21" s="47" t="str">
        <f>Fluxo_de_Caixa_Janeiro[[#This Row],[Fluxo de Caixa 2026 CTR]]</f>
        <v>4.1 -  BANCO DO BRASIL C.C.61105-0 FILIAL PORTO</v>
      </c>
      <c r="C21" s="256"/>
      <c r="D21" s="262"/>
      <c r="E21" s="262"/>
      <c r="F21" s="262">
        <f>Fluxo_de_Caixa_Janeiro345[[#This Row],[ABRIL]]</f>
        <v>521.91999999999996</v>
      </c>
      <c r="G21" s="262">
        <f>Fluxo_de_Caixa_Janeiro3459[[#This Row],[MAIO]]</f>
        <v>308.02999999999997</v>
      </c>
      <c r="H21" s="263">
        <f>Fluxo_de_Caixa_Janeiro345911[[#This Row],[JUNHO]]</f>
        <v>242.15</v>
      </c>
      <c r="I21" s="262"/>
      <c r="J21" s="262"/>
      <c r="K21" s="262"/>
      <c r="L21" s="262"/>
      <c r="M21" s="262"/>
      <c r="N21" s="263"/>
      <c r="O21" s="209">
        <f>SUM(Fluxo_de_Caixa_Janeiro3102013[[#This Row],[Janeiro]:[Dezembro]])</f>
        <v>1072.0999999999999</v>
      </c>
      <c r="P21" s="138">
        <f t="shared" si="1"/>
        <v>2.4499790422928863E-3</v>
      </c>
      <c r="Q21" s="66"/>
      <c r="R21" s="31"/>
    </row>
    <row r="22" spans="1:18" hidden="1" x14ac:dyDescent="0.25">
      <c r="B22" s="47">
        <f>Fluxo_de_Caixa_Janeiro[[#This Row],[Fluxo de Caixa 2026 CTR]]</f>
        <v>0</v>
      </c>
      <c r="C22" s="256"/>
      <c r="D22" s="262"/>
      <c r="E22" s="262"/>
      <c r="F22" s="262">
        <f>Fluxo_de_Caixa_Janeiro345[[#This Row],[ABRIL]]</f>
        <v>0</v>
      </c>
      <c r="G22" s="262">
        <f>Fluxo_de_Caixa_Janeiro3459[[#This Row],[MAIO]]</f>
        <v>0</v>
      </c>
      <c r="H22" s="263">
        <f>Fluxo_de_Caixa_Janeiro345911[[#This Row],[JUNHO]]</f>
        <v>0</v>
      </c>
      <c r="I22" s="262"/>
      <c r="J22" s="262"/>
      <c r="K22" s="262"/>
      <c r="L22" s="262"/>
      <c r="M22" s="262"/>
      <c r="N22" s="263"/>
      <c r="O22" s="209">
        <f>SUM(Fluxo_de_Caixa_Janeiro3102013[[#This Row],[Janeiro]:[Dezembro]])</f>
        <v>0</v>
      </c>
      <c r="P22" s="138" t="str">
        <f t="shared" si="1"/>
        <v>0,00%</v>
      </c>
      <c r="Q22" s="66"/>
      <c r="R22" s="31"/>
    </row>
    <row r="23" spans="1:18" x14ac:dyDescent="0.25">
      <c r="B23" s="47" t="str">
        <f>Fluxo_de_Caixa_Janeiro[[#This Row],[Fluxo de Caixa 2026 CTR]]</f>
        <v>4.4 - MERCADO PAGO PIX FILIAL PORTO</v>
      </c>
      <c r="C23" s="256"/>
      <c r="D23" s="262"/>
      <c r="E23" s="262"/>
      <c r="F23" s="262">
        <f>Fluxo_de_Caixa_Janeiro345[[#This Row],[ABRIL]]</f>
        <v>13187.1</v>
      </c>
      <c r="G23" s="262">
        <f>Fluxo_de_Caixa_Janeiro3459[[#This Row],[MAIO]]</f>
        <v>6468.92</v>
      </c>
      <c r="H23" s="263">
        <f>Fluxo_de_Caixa_Janeiro345911[[#This Row],[JUNHO]]</f>
        <v>1811.61</v>
      </c>
      <c r="I23" s="262"/>
      <c r="J23" s="262"/>
      <c r="K23" s="262"/>
      <c r="L23" s="262"/>
      <c r="M23" s="262"/>
      <c r="N23" s="263"/>
      <c r="O23" s="209">
        <f>SUM(Fluxo_de_Caixa_Janeiro3102013[[#This Row],[Janeiro]:[Dezembro]])</f>
        <v>21467.63</v>
      </c>
      <c r="P23" s="138">
        <f t="shared" si="1"/>
        <v>4.9058150907282945E-2</v>
      </c>
      <c r="Q23" s="66"/>
      <c r="R23" s="31"/>
    </row>
    <row r="24" spans="1:18" x14ac:dyDescent="0.25">
      <c r="B24" s="47" t="str">
        <f>Fluxo_de_Caixa_Janeiro[[#This Row],[Fluxo de Caixa 2026 CTR]]</f>
        <v>4.9 - CONTA PERDA/ROUBO E BONIFICAÇÃO FILIAL</v>
      </c>
      <c r="C24" s="256"/>
      <c r="D24" s="262"/>
      <c r="E24" s="262"/>
      <c r="F24" s="262">
        <f>Fluxo_de_Caixa_Janeiro345[[#This Row],[ABRIL]]</f>
        <v>-29071.86</v>
      </c>
      <c r="G24" s="262">
        <f>Fluxo_de_Caixa_Janeiro3459[[#This Row],[MAIO]]</f>
        <v>-29071.86</v>
      </c>
      <c r="H24" s="263">
        <f>Fluxo_de_Caixa_Janeiro345911[[#This Row],[JUNHO]]</f>
        <v>-29071.86</v>
      </c>
      <c r="I24" s="262"/>
      <c r="J24" s="262"/>
      <c r="K24" s="262"/>
      <c r="L24" s="262"/>
      <c r="M24" s="262"/>
      <c r="N24" s="263"/>
      <c r="O24" s="209">
        <f>SUM(Fluxo_de_Caixa_Janeiro3102013[[#This Row],[Janeiro]:[Dezembro]])</f>
        <v>-87215.58</v>
      </c>
      <c r="P24" s="138">
        <f t="shared" si="1"/>
        <v>-0.19930635496821064</v>
      </c>
      <c r="Q24" s="66"/>
      <c r="R24" s="31"/>
    </row>
    <row r="25" spans="1:18" ht="15.75" thickBot="1" x14ac:dyDescent="0.3">
      <c r="B25" s="47" t="str">
        <f>Fluxo_de_Caixa_Janeiro[[#This Row],[Fluxo de Caixa 2026 CTR]]</f>
        <v>91.CARTÃO ENDERED 5099+4596+6933+8072 - ESCRITORIO</v>
      </c>
      <c r="C25" s="256"/>
      <c r="D25" s="262"/>
      <c r="E25" s="262"/>
      <c r="F25" s="262">
        <f>Fluxo_de_Caixa_Janeiro345[[#This Row],[ABRIL]]</f>
        <v>4229.6900000000005</v>
      </c>
      <c r="G25" s="262">
        <f>Fluxo_de_Caixa_Janeiro3459[[#This Row],[MAIO]]</f>
        <v>3055.0099999999998</v>
      </c>
      <c r="H25" s="263">
        <f>Fluxo_de_Caixa_Janeiro345911[[#This Row],[JUNHO]]</f>
        <v>4162.5600000000004</v>
      </c>
      <c r="I25" s="262"/>
      <c r="J25" s="262"/>
      <c r="K25" s="262"/>
      <c r="L25" s="262"/>
      <c r="M25" s="262"/>
      <c r="N25" s="263"/>
      <c r="O25" s="209">
        <f>SUM(Fluxo_de_Caixa_Janeiro3102013[[#This Row],[Janeiro]:[Dezembro]])</f>
        <v>11447.260000000002</v>
      </c>
      <c r="P25" s="138">
        <f t="shared" si="1"/>
        <v>2.6159450696462711E-2</v>
      </c>
      <c r="Q25" s="66"/>
      <c r="R25" s="31"/>
    </row>
    <row r="26" spans="1:18" ht="15.75" hidden="1" thickBot="1" x14ac:dyDescent="0.3">
      <c r="B26" s="47">
        <f>Fluxo_de_Caixa_Janeiro[[#This Row],[Fluxo de Caixa 2026 CTR]]</f>
        <v>0</v>
      </c>
      <c r="C26" s="256"/>
      <c r="D26" s="262"/>
      <c r="E26" s="262"/>
      <c r="F26" s="262">
        <f>Fluxo_de_Caixa_Janeiro345[[#This Row],[ABRIL]]</f>
        <v>220.65999999997439</v>
      </c>
      <c r="G26" s="262">
        <f>Fluxo_de_Caixa_Janeiro3459[[#This Row],[MAIO]]</f>
        <v>0</v>
      </c>
      <c r="H26" s="263">
        <f>Fluxo_de_Caixa_Janeiro345911[[#This Row],[JUNHO]]</f>
        <v>0</v>
      </c>
      <c r="I26" s="262"/>
      <c r="J26" s="262"/>
      <c r="K26" s="262"/>
      <c r="L26" s="262"/>
      <c r="M26" s="262"/>
      <c r="N26" s="263"/>
      <c r="O26" s="209">
        <f>SUM(Fluxo_de_Caixa_Janeiro3102013[[#This Row],[Janeiro]:[Dezembro]])</f>
        <v>220.65999999997439</v>
      </c>
      <c r="P26" s="138">
        <f t="shared" si="1"/>
        <v>5.0425555029594781E-4</v>
      </c>
      <c r="Q26" s="66"/>
      <c r="R26" s="31"/>
    </row>
    <row r="27" spans="1:18" ht="27" thickBot="1" x14ac:dyDescent="0.45">
      <c r="B27" s="266" t="str">
        <f>Fluxo_de_Caixa_Janeiro[[#This Row],[Fluxo de Caixa 2026 CTR]]</f>
        <v>Total Receitas Operacionais / Vendas</v>
      </c>
      <c r="C27" s="37"/>
      <c r="D27" s="83"/>
      <c r="E27" s="83"/>
      <c r="F27" s="83">
        <f>Fluxo_de_Caixa_Janeiro345[[#This Row],[ABRIL]]</f>
        <v>1009247</v>
      </c>
      <c r="G27" s="83">
        <f>Fluxo_de_Caixa_Janeiro3459[[#This Row],[MAIO]]</f>
        <v>749225.37</v>
      </c>
      <c r="H27" s="121">
        <f>Fluxo_de_Caixa_Janeiro345911[[#This Row],[JUNHO]]</f>
        <v>0</v>
      </c>
      <c r="I27" s="83"/>
      <c r="J27" s="83"/>
      <c r="K27" s="83"/>
      <c r="L27" s="83"/>
      <c r="M27" s="83"/>
      <c r="N27" s="121"/>
      <c r="O27" s="211">
        <f>SUM(Fluxo_de_Caixa_Janeiro3102013[[#This Row],[Janeiro]:[Dezembro]])</f>
        <v>1758472.37</v>
      </c>
      <c r="P27" s="198">
        <f>IFERROR(O27/O332,"0,00%")</f>
        <v>0.99892746395650056</v>
      </c>
      <c r="Q27" s="68">
        <v>0.99986130664936701</v>
      </c>
      <c r="R27" s="32" t="str">
        <f>IF(Fluxo_de_Caixa_Janeiro3102013[[#This Row],[% ACUMULADO  2º SEMEST 2026]]&gt;=Fluxo_de_Caixa_Janeiro3102013[[#This Row],[Coluna1]],"VERDADEIRO","FALSO")</f>
        <v>FALSO</v>
      </c>
    </row>
    <row r="28" spans="1:18" s="1" customFormat="1" ht="24" thickBot="1" x14ac:dyDescent="0.4">
      <c r="A28" s="11" t="s">
        <v>49</v>
      </c>
      <c r="B28" s="57" t="str">
        <f>Fluxo_de_Caixa_Janeiro[[#This Row],[Fluxo de Caixa 2026 CTR]]</f>
        <v>1.1. Receita com Vendas</v>
      </c>
      <c r="C28" s="44"/>
      <c r="D28" s="85"/>
      <c r="E28" s="85"/>
      <c r="F28" s="85">
        <f>Fluxo_de_Caixa_Janeiro345[[#This Row],[ABRIL]]</f>
        <v>1009247</v>
      </c>
      <c r="G28" s="85">
        <f>Fluxo_de_Caixa_Janeiro3459[[#This Row],[MAIO]]</f>
        <v>749225.37</v>
      </c>
      <c r="H28" s="122">
        <f>Fluxo_de_Caixa_Janeiro345911[[#This Row],[JUNHO]]</f>
        <v>0</v>
      </c>
      <c r="I28" s="85"/>
      <c r="J28" s="85"/>
      <c r="K28" s="85"/>
      <c r="L28" s="85"/>
      <c r="M28" s="85"/>
      <c r="N28" s="122"/>
      <c r="O28" s="212">
        <f>SUM(Fluxo_de_Caixa_Janeiro3102013[[#This Row],[Janeiro]:[Dezembro]])</f>
        <v>1758472.37</v>
      </c>
      <c r="P28" s="25">
        <f>SUM(P29:P47)</f>
        <v>0.99892746395650045</v>
      </c>
      <c r="Q28" s="69">
        <v>0.9998613066493669</v>
      </c>
      <c r="R28" s="32"/>
    </row>
    <row r="29" spans="1:18" x14ac:dyDescent="0.25">
      <c r="B29" s="49" t="str">
        <f>Fluxo_de_Caixa_Janeiro[[#This Row],[Fluxo de Caixa 2026 CTR]]</f>
        <v xml:space="preserve">1.1.01. Receita em Dinheiro </v>
      </c>
      <c r="C29" s="39"/>
      <c r="D29" s="84"/>
      <c r="E29" s="84"/>
      <c r="F29" s="84">
        <f>Fluxo_de_Caixa_Janeiro345[[#This Row],[ABRIL]]</f>
        <v>3589.3999999999996</v>
      </c>
      <c r="G29" s="84">
        <f>Fluxo_de_Caixa_Janeiro3459[[#This Row],[MAIO]]</f>
        <v>7136.5300000000007</v>
      </c>
      <c r="H29" s="123">
        <f>Fluxo_de_Caixa_Janeiro345911[[#This Row],[JUNHO]]</f>
        <v>0</v>
      </c>
      <c r="I29" s="84"/>
      <c r="J29" s="84"/>
      <c r="K29" s="84"/>
      <c r="L29" s="84"/>
      <c r="M29" s="84"/>
      <c r="N29" s="123"/>
      <c r="O29" s="213">
        <f>SUM(Fluxo_de_Caixa_Janeiro3102013[[#This Row],[Janeiro]:[Dezembro]])</f>
        <v>10725.93</v>
      </c>
      <c r="P29" s="29">
        <f t="shared" ref="P29:P47" si="2">IF(O29=0,"0,00%",O29/$O$332)</f>
        <v>6.0930306533476825E-3</v>
      </c>
      <c r="Q29" s="63">
        <v>3.1038330936008734E-3</v>
      </c>
      <c r="R29" s="32" t="str">
        <f>IF(Fluxo_de_Caixa_Janeiro3102013[[#This Row],[% ACUMULADO  2º SEMEST 2026]]&gt;=Fluxo_de_Caixa_Janeiro3102013[[#This Row],[Coluna1]],"VERDADEIRO","FALSO")</f>
        <v>VERDADEIRO</v>
      </c>
    </row>
    <row r="30" spans="1:18" x14ac:dyDescent="0.25">
      <c r="B30" s="50" t="str">
        <f>Fluxo_de_Caixa_Janeiro[[#This Row],[Fluxo de Caixa 2026 CTR]]</f>
        <v>1.1.01. Receita em Cartão (Crédito e Débito)</v>
      </c>
      <c r="C30" s="40"/>
      <c r="D30" s="64"/>
      <c r="E30" s="64"/>
      <c r="F30" s="64">
        <f>Fluxo_de_Caixa_Janeiro345[[#This Row],[ABRIL]]</f>
        <v>160565.41</v>
      </c>
      <c r="G30" s="64">
        <f>Fluxo_de_Caixa_Janeiro3459[[#This Row],[MAIO]]</f>
        <v>106265.12</v>
      </c>
      <c r="H30" s="124">
        <f>Fluxo_de_Caixa_Janeiro345911[[#This Row],[JUNHO]]</f>
        <v>0</v>
      </c>
      <c r="I30" s="64"/>
      <c r="J30" s="64"/>
      <c r="K30" s="64"/>
      <c r="L30" s="64"/>
      <c r="M30" s="64"/>
      <c r="N30" s="124"/>
      <c r="O30" s="214">
        <f>SUM(Fluxo_de_Caixa_Janeiro3102013[[#This Row],[Janeiro]:[Dezembro]])</f>
        <v>266830.53000000003</v>
      </c>
      <c r="P30" s="140">
        <f t="shared" si="2"/>
        <v>0.1515772150796256</v>
      </c>
      <c r="Q30" s="63">
        <v>4.3813323864095914E-2</v>
      </c>
      <c r="R30" s="32" t="str">
        <f>IF(Fluxo_de_Caixa_Janeiro3102013[[#This Row],[% ACUMULADO  2º SEMEST 2026]]&gt;=Fluxo_de_Caixa_Janeiro3102013[[#This Row],[Coluna1]],"VERDADEIRO","FALSO")</f>
        <v>VERDADEIRO</v>
      </c>
    </row>
    <row r="31" spans="1:18" x14ac:dyDescent="0.25">
      <c r="B31" s="50" t="str">
        <f>Fluxo_de_Caixa_Janeiro[[#This Row],[Fluxo de Caixa 2026 CTR]]</f>
        <v>1.1.01. Receita de Cheque A Vista</v>
      </c>
      <c r="C31" s="35"/>
      <c r="D31" s="62"/>
      <c r="E31" s="62"/>
      <c r="F31" s="62">
        <f>Fluxo_de_Caixa_Janeiro345[[#This Row],[ABRIL]]</f>
        <v>19225.740000000002</v>
      </c>
      <c r="G31" s="62">
        <f>Fluxo_de_Caixa_Janeiro3459[[#This Row],[MAIO]]</f>
        <v>0</v>
      </c>
      <c r="H31" s="119">
        <f>Fluxo_de_Caixa_Janeiro345911[[#This Row],[JUNHO]]</f>
        <v>0</v>
      </c>
      <c r="I31" s="62"/>
      <c r="J31" s="62"/>
      <c r="K31" s="62"/>
      <c r="L31" s="62"/>
      <c r="M31" s="62"/>
      <c r="N31" s="119"/>
      <c r="O31" s="214">
        <f>SUM(Fluxo_de_Caixa_Janeiro3102013[[#This Row],[Janeiro]:[Dezembro]])</f>
        <v>19225.740000000002</v>
      </c>
      <c r="P31" s="140">
        <f t="shared" si="2"/>
        <v>1.0921479363867998E-2</v>
      </c>
      <c r="Q31" s="63" t="s">
        <v>240</v>
      </c>
      <c r="R31" s="32" t="str">
        <f>IF(Fluxo_de_Caixa_Janeiro3102013[[#This Row],[% ACUMULADO  2º SEMEST 2026]]&gt;=Fluxo_de_Caixa_Janeiro3102013[[#This Row],[Coluna1]],"VERDADEIRO","FALSO")</f>
        <v>FALSO</v>
      </c>
    </row>
    <row r="32" spans="1:18" x14ac:dyDescent="0.25">
      <c r="B32" s="50" t="str">
        <f>Fluxo_de_Caixa_Janeiro[[#This Row],[Fluxo de Caixa 2026 CTR]]</f>
        <v xml:space="preserve">1.1.01. Receita de Cheque Pré </v>
      </c>
      <c r="C32" s="35"/>
      <c r="D32" s="62"/>
      <c r="E32" s="62"/>
      <c r="F32" s="62">
        <f>Fluxo_de_Caixa_Janeiro345[[#This Row],[ABRIL]]</f>
        <v>0</v>
      </c>
      <c r="G32" s="62">
        <f>Fluxo_de_Caixa_Janeiro3459[[#This Row],[MAIO]]</f>
        <v>0</v>
      </c>
      <c r="H32" s="119">
        <f>Fluxo_de_Caixa_Janeiro345911[[#This Row],[JUNHO]]</f>
        <v>0</v>
      </c>
      <c r="I32" s="62"/>
      <c r="J32" s="62"/>
      <c r="K32" s="62"/>
      <c r="L32" s="62"/>
      <c r="M32" s="62"/>
      <c r="N32" s="119"/>
      <c r="O32" s="214">
        <f>SUM(Fluxo_de_Caixa_Janeiro3102013[[#This Row],[Janeiro]:[Dezembro]])</f>
        <v>0</v>
      </c>
      <c r="P32" s="140" t="str">
        <f t="shared" si="2"/>
        <v>0,00%</v>
      </c>
      <c r="Q32" s="63">
        <v>5.7449914749826596E-3</v>
      </c>
      <c r="R32" s="32" t="str">
        <f>IF(Fluxo_de_Caixa_Janeiro3102013[[#This Row],[% ACUMULADO  2º SEMEST 2026]]&gt;=Fluxo_de_Caixa_Janeiro3102013[[#This Row],[Coluna1]],"VERDADEIRO","FALSO")</f>
        <v>VERDADEIRO</v>
      </c>
    </row>
    <row r="33" spans="1:18" x14ac:dyDescent="0.25">
      <c r="B33" s="50" t="str">
        <f>Fluxo_de_Caixa_Janeiro[[#This Row],[Fluxo de Caixa 2026 CTR]]</f>
        <v>1.1.01. Recebimento de Carteira (Notinha)</v>
      </c>
      <c r="C33" s="35"/>
      <c r="D33" s="62"/>
      <c r="E33" s="62"/>
      <c r="F33" s="62">
        <f>Fluxo_de_Caixa_Janeiro345[[#This Row],[ABRIL]]</f>
        <v>30464</v>
      </c>
      <c r="G33" s="62">
        <f>Fluxo_de_Caixa_Janeiro3459[[#This Row],[MAIO]]</f>
        <v>0</v>
      </c>
      <c r="H33" s="119">
        <f>Fluxo_de_Caixa_Janeiro345911[[#This Row],[JUNHO]]</f>
        <v>0</v>
      </c>
      <c r="I33" s="62"/>
      <c r="J33" s="62"/>
      <c r="K33" s="62"/>
      <c r="L33" s="62"/>
      <c r="M33" s="62"/>
      <c r="N33" s="119"/>
      <c r="O33" s="214">
        <f>SUM(Fluxo_de_Caixa_Janeiro3102013[[#This Row],[Janeiro]:[Dezembro]])</f>
        <v>30464</v>
      </c>
      <c r="P33" s="140">
        <f t="shared" si="2"/>
        <v>1.7305547008379114E-2</v>
      </c>
      <c r="Q33" s="63" t="s">
        <v>240</v>
      </c>
      <c r="R33" s="32" t="str">
        <f>IF(Fluxo_de_Caixa_Janeiro3102013[[#This Row],[% ACUMULADO  2º SEMEST 2026]]&gt;=Fluxo_de_Caixa_Janeiro3102013[[#This Row],[Coluna1]],"VERDADEIRO","FALSO")</f>
        <v>FALSO</v>
      </c>
    </row>
    <row r="34" spans="1:18" x14ac:dyDescent="0.25">
      <c r="B34" s="50" t="str">
        <f>Fluxo_de_Caixa_Janeiro[[#This Row],[Fluxo de Caixa 2026 CTR]]</f>
        <v>1.1.01. Recebimento de Boletos</v>
      </c>
      <c r="C34" s="35"/>
      <c r="D34" s="62"/>
      <c r="E34" s="62"/>
      <c r="F34" s="62">
        <f>Fluxo_de_Caixa_Janeiro345[[#This Row],[ABRIL]]</f>
        <v>353624.95</v>
      </c>
      <c r="G34" s="62">
        <f>Fluxo_de_Caixa_Janeiro3459[[#This Row],[MAIO]]</f>
        <v>98986.010000000009</v>
      </c>
      <c r="H34" s="119">
        <f>Fluxo_de_Caixa_Janeiro345911[[#This Row],[JUNHO]]</f>
        <v>0</v>
      </c>
      <c r="I34" s="62"/>
      <c r="J34" s="62"/>
      <c r="K34" s="62"/>
      <c r="L34" s="62"/>
      <c r="M34" s="62"/>
      <c r="N34" s="119"/>
      <c r="O34" s="214">
        <f>SUM(Fluxo_de_Caixa_Janeiro3102013[[#This Row],[Janeiro]:[Dezembro]])</f>
        <v>452610.96</v>
      </c>
      <c r="P34" s="140">
        <f t="shared" si="2"/>
        <v>0.25711266559833246</v>
      </c>
      <c r="Q34" s="63">
        <v>0.35709128983670474</v>
      </c>
      <c r="R34" s="32" t="str">
        <f>IF(Fluxo_de_Caixa_Janeiro3102013[[#This Row],[% ACUMULADO  2º SEMEST 2026]]&gt;=Fluxo_de_Caixa_Janeiro3102013[[#This Row],[Coluna1]],"VERDADEIRO","FALSO")</f>
        <v>FALSO</v>
      </c>
    </row>
    <row r="35" spans="1:18" x14ac:dyDescent="0.25">
      <c r="B35" s="50" t="str">
        <f>Fluxo_de_Caixa_Janeiro[[#This Row],[Fluxo de Caixa 2026 CTR]]</f>
        <v>1.1.01. Recebimento em Depósito e Dep. PIX</v>
      </c>
      <c r="C35" s="35"/>
      <c r="D35" s="62"/>
      <c r="E35" s="62"/>
      <c r="F35" s="62">
        <f>Fluxo_de_Caixa_Janeiro345[[#This Row],[ABRIL]]</f>
        <v>441777.5</v>
      </c>
      <c r="G35" s="62">
        <f>Fluxo_de_Caixa_Janeiro3459[[#This Row],[MAIO]]</f>
        <v>536837.71</v>
      </c>
      <c r="H35" s="119">
        <f>Fluxo_de_Caixa_Janeiro345911[[#This Row],[JUNHO]]</f>
        <v>0</v>
      </c>
      <c r="I35" s="62"/>
      <c r="J35" s="62"/>
      <c r="K35" s="62"/>
      <c r="L35" s="62"/>
      <c r="M35" s="62"/>
      <c r="N35" s="119"/>
      <c r="O35" s="214">
        <f>SUM(Fluxo_de_Caixa_Janeiro3102013[[#This Row],[Janeiro]:[Dezembro]])</f>
        <v>978615.21</v>
      </c>
      <c r="P35" s="140">
        <f t="shared" si="2"/>
        <v>0.55591752625294766</v>
      </c>
      <c r="Q35" s="63">
        <v>0.59010786837998275</v>
      </c>
      <c r="R35" s="32" t="str">
        <f>IF(Fluxo_de_Caixa_Janeiro3102013[[#This Row],[% ACUMULADO  2º SEMEST 2026]]&gt;=Fluxo_de_Caixa_Janeiro3102013[[#This Row],[Coluna1]],"VERDADEIRO","FALSO")</f>
        <v>FALSO</v>
      </c>
    </row>
    <row r="36" spans="1:18" ht="15.75" thickBot="1" x14ac:dyDescent="0.3">
      <c r="B36" s="51" t="str">
        <f>Fluxo_de_Caixa_Janeiro[[#This Row],[Fluxo de Caixa 2026 CTR]]</f>
        <v>1.1.02. Recebimento Cheque Devolvido</v>
      </c>
      <c r="C36" s="35"/>
      <c r="D36" s="62"/>
      <c r="E36" s="62"/>
      <c r="F36" s="62">
        <f>Fluxo_de_Caixa_Janeiro345[[#This Row],[ABRIL]]</f>
        <v>0</v>
      </c>
      <c r="G36" s="62">
        <f>Fluxo_de_Caixa_Janeiro3459[[#This Row],[MAIO]]</f>
        <v>0</v>
      </c>
      <c r="H36" s="62">
        <f>Fluxo_de_Caixa_Janeiro345911[[#This Row],[JUNHO]]</f>
        <v>0</v>
      </c>
      <c r="I36" s="35"/>
      <c r="J36" s="62"/>
      <c r="K36" s="62"/>
      <c r="L36" s="62"/>
      <c r="M36" s="62"/>
      <c r="N36" s="119"/>
      <c r="O36" s="214">
        <f>SUM(Fluxo_de_Caixa_Janeiro3102013[[#This Row],[Janeiro]:[Dezembro]])</f>
        <v>0</v>
      </c>
      <c r="P36" s="140" t="str">
        <f t="shared" si="2"/>
        <v>0,00%</v>
      </c>
      <c r="Q36" s="63" t="s">
        <v>240</v>
      </c>
      <c r="R36" s="32" t="str">
        <f>IF(Fluxo_de_Caixa_Janeiro3102013[[#This Row],[% ACUMULADO  2º SEMEST 2026]]&gt;=Fluxo_de_Caixa_Janeiro3102013[[#This Row],[Coluna1]],"VERDADEIRO","FALSO")</f>
        <v>VERDADEIRO</v>
      </c>
    </row>
    <row r="37" spans="1:18" hidden="1" x14ac:dyDescent="0.25">
      <c r="B37" s="365">
        <f>Fluxo_de_Caixa_Janeiro[[#This Row],[Fluxo de Caixa 2026 CTR]]</f>
        <v>0</v>
      </c>
      <c r="C37" s="35"/>
      <c r="D37" s="62"/>
      <c r="E37" s="62"/>
      <c r="F37" s="62">
        <f>Fluxo_de_Caixa_Janeiro345[[#This Row],[ABRIL]]</f>
        <v>0</v>
      </c>
      <c r="G37" s="62">
        <f>Fluxo_de_Caixa_Janeiro3459[[#This Row],[MAIO]]</f>
        <v>0</v>
      </c>
      <c r="H37" s="62">
        <f>Fluxo_de_Caixa_Janeiro345911[[#This Row],[JUNHO]]</f>
        <v>0</v>
      </c>
      <c r="I37" s="35"/>
      <c r="J37" s="62"/>
      <c r="K37" s="62"/>
      <c r="L37" s="62"/>
      <c r="M37" s="62"/>
      <c r="N37" s="119"/>
      <c r="O37" s="214">
        <f>SUM(Fluxo_de_Caixa_Janeiro3102013[[#This Row],[Janeiro]:[Dezembro]])</f>
        <v>0</v>
      </c>
      <c r="P37" s="140" t="str">
        <f t="shared" si="2"/>
        <v>0,00%</v>
      </c>
      <c r="Q37" s="63" t="s">
        <v>240</v>
      </c>
      <c r="R37" s="32" t="str">
        <f>IF(Fluxo_de_Caixa_Janeiro3102013[[#This Row],[% ACUMULADO  2º SEMEST 2026]]&gt;=Fluxo_de_Caixa_Janeiro3102013[[#This Row],[Coluna1]],"VERDADEIRO","FALSO")</f>
        <v>VERDADEIRO</v>
      </c>
    </row>
    <row r="38" spans="1:18" hidden="1" x14ac:dyDescent="0.25">
      <c r="B38" s="362">
        <f>Fluxo_de_Caixa_Janeiro[[#This Row],[Fluxo de Caixa 2026 CTR]]</f>
        <v>0</v>
      </c>
      <c r="C38" s="357"/>
      <c r="D38" s="306"/>
      <c r="E38" s="306"/>
      <c r="F38" s="306">
        <f>Fluxo_de_Caixa_Janeiro345[[#This Row],[ABRIL]]</f>
        <v>0</v>
      </c>
      <c r="G38" s="306">
        <f>Fluxo_de_Caixa_Janeiro3459[[#This Row],[MAIO]]</f>
        <v>0</v>
      </c>
      <c r="H38" s="306">
        <f>Fluxo_de_Caixa_Janeiro345911[[#This Row],[JUNHO]]</f>
        <v>0</v>
      </c>
      <c r="I38" s="357"/>
      <c r="J38" s="306"/>
      <c r="K38" s="306"/>
      <c r="L38" s="306"/>
      <c r="M38" s="306"/>
      <c r="N38" s="360"/>
      <c r="O38" s="394">
        <f>SUM(Fluxo_de_Caixa_Janeiro3102013[[#This Row],[Janeiro]:[Dezembro]])</f>
        <v>0</v>
      </c>
      <c r="P38" s="140" t="str">
        <f t="shared" si="2"/>
        <v>0,00%</v>
      </c>
      <c r="Q38" s="395" t="s">
        <v>240</v>
      </c>
      <c r="R38" s="32"/>
    </row>
    <row r="39" spans="1:18" hidden="1" x14ac:dyDescent="0.25">
      <c r="B39" s="364">
        <f>Fluxo_de_Caixa_Janeiro[[#This Row],[Fluxo de Caixa 2026 CTR]]</f>
        <v>0</v>
      </c>
      <c r="C39" s="357"/>
      <c r="D39" s="306"/>
      <c r="E39" s="306"/>
      <c r="F39" s="306">
        <f>Fluxo_de_Caixa_Janeiro345[[#This Row],[ABRIL]]</f>
        <v>0</v>
      </c>
      <c r="G39" s="306">
        <f>Fluxo_de_Caixa_Janeiro3459[[#This Row],[MAIO]]</f>
        <v>0</v>
      </c>
      <c r="H39" s="306">
        <f>Fluxo_de_Caixa_Janeiro345911[[#This Row],[JUNHO]]</f>
        <v>0</v>
      </c>
      <c r="I39" s="357"/>
      <c r="J39" s="306"/>
      <c r="K39" s="306"/>
      <c r="L39" s="306"/>
      <c r="M39" s="306"/>
      <c r="N39" s="360"/>
      <c r="O39" s="394">
        <f>SUM(Fluxo_de_Caixa_Janeiro3102013[[#This Row],[Janeiro]:[Dezembro]])</f>
        <v>0</v>
      </c>
      <c r="P39" s="140" t="str">
        <f t="shared" si="2"/>
        <v>0,00%</v>
      </c>
      <c r="Q39" s="395" t="s">
        <v>240</v>
      </c>
      <c r="R39" s="32"/>
    </row>
    <row r="40" spans="1:18" hidden="1" x14ac:dyDescent="0.25">
      <c r="B40" s="362">
        <f>Fluxo_de_Caixa_Janeiro[[#This Row],[Fluxo de Caixa 2026 CTR]]</f>
        <v>0</v>
      </c>
      <c r="C40" s="358"/>
      <c r="D40" s="359"/>
      <c r="E40" s="359"/>
      <c r="F40" s="359">
        <f>Fluxo_de_Caixa_Janeiro345[[#This Row],[ABRIL]]</f>
        <v>0</v>
      </c>
      <c r="G40" s="359">
        <f>Fluxo_de_Caixa_Janeiro3459[[#This Row],[MAIO]]</f>
        <v>0</v>
      </c>
      <c r="H40" s="359">
        <f>Fluxo_de_Caixa_Janeiro345911[[#This Row],[JUNHO]]</f>
        <v>0</v>
      </c>
      <c r="I40" s="358"/>
      <c r="J40" s="359"/>
      <c r="K40" s="359"/>
      <c r="L40" s="359"/>
      <c r="M40" s="359"/>
      <c r="N40" s="361"/>
      <c r="O40" s="394">
        <f>SUM(Fluxo_de_Caixa_Janeiro3102013[[#This Row],[Janeiro]:[Dezembro]])</f>
        <v>0</v>
      </c>
      <c r="P40" s="140" t="str">
        <f t="shared" si="2"/>
        <v>0,00%</v>
      </c>
      <c r="Q40" s="395" t="s">
        <v>240</v>
      </c>
      <c r="R40" s="32"/>
    </row>
    <row r="41" spans="1:18" hidden="1" x14ac:dyDescent="0.25">
      <c r="B41" s="363">
        <f>Fluxo_de_Caixa_Janeiro[[#This Row],[Fluxo de Caixa 2026 CTR]]</f>
        <v>0</v>
      </c>
      <c r="C41" s="358"/>
      <c r="D41" s="359"/>
      <c r="E41" s="359"/>
      <c r="F41" s="359">
        <f>Fluxo_de_Caixa_Janeiro345[[#This Row],[ABRIL]]</f>
        <v>0</v>
      </c>
      <c r="G41" s="359">
        <f>Fluxo_de_Caixa_Janeiro3459[[#This Row],[MAIO]]</f>
        <v>0</v>
      </c>
      <c r="H41" s="359">
        <f>Fluxo_de_Caixa_Janeiro345911[[#This Row],[JUNHO]]</f>
        <v>0</v>
      </c>
      <c r="I41" s="358"/>
      <c r="J41" s="359"/>
      <c r="K41" s="359"/>
      <c r="L41" s="359"/>
      <c r="M41" s="359"/>
      <c r="N41" s="361"/>
      <c r="O41" s="394">
        <f>SUM(Fluxo_de_Caixa_Janeiro3102013[[#This Row],[Janeiro]:[Dezembro]])</f>
        <v>0</v>
      </c>
      <c r="P41" s="140" t="str">
        <f t="shared" si="2"/>
        <v>0,00%</v>
      </c>
      <c r="Q41" s="395" t="s">
        <v>240</v>
      </c>
      <c r="R41" s="32"/>
    </row>
    <row r="42" spans="1:18" hidden="1" x14ac:dyDescent="0.25">
      <c r="B42" s="363">
        <f>Fluxo_de_Caixa_Janeiro[[#This Row],[Fluxo de Caixa 2026 CTR]]</f>
        <v>0</v>
      </c>
      <c r="C42" s="358"/>
      <c r="D42" s="359"/>
      <c r="E42" s="359"/>
      <c r="F42" s="359">
        <f>Fluxo_de_Caixa_Janeiro345[[#This Row],[ABRIL]]</f>
        <v>0</v>
      </c>
      <c r="G42" s="359">
        <f>Fluxo_de_Caixa_Janeiro3459[[#This Row],[MAIO]]</f>
        <v>0</v>
      </c>
      <c r="H42" s="359">
        <f>Fluxo_de_Caixa_Janeiro345911[[#This Row],[JUNHO]]</f>
        <v>0</v>
      </c>
      <c r="I42" s="358"/>
      <c r="J42" s="359"/>
      <c r="K42" s="359"/>
      <c r="L42" s="359"/>
      <c r="M42" s="359"/>
      <c r="N42" s="361"/>
      <c r="O42" s="394">
        <f>SUM(Fluxo_de_Caixa_Janeiro3102013[[#This Row],[Janeiro]:[Dezembro]])</f>
        <v>0</v>
      </c>
      <c r="P42" s="140" t="str">
        <f t="shared" si="2"/>
        <v>0,00%</v>
      </c>
      <c r="Q42" s="395" t="s">
        <v>240</v>
      </c>
      <c r="R42" s="32"/>
    </row>
    <row r="43" spans="1:18" hidden="1" x14ac:dyDescent="0.25">
      <c r="B43" s="364">
        <f>Fluxo_de_Caixa_Janeiro[[#This Row],[Fluxo de Caixa 2026 CTR]]</f>
        <v>0</v>
      </c>
      <c r="C43" s="358"/>
      <c r="D43" s="359"/>
      <c r="E43" s="359"/>
      <c r="F43" s="359">
        <f>Fluxo_de_Caixa_Janeiro345[[#This Row],[ABRIL]]</f>
        <v>0</v>
      </c>
      <c r="G43" s="359">
        <f>Fluxo_de_Caixa_Janeiro3459[[#This Row],[MAIO]]</f>
        <v>0</v>
      </c>
      <c r="H43" s="359">
        <f>Fluxo_de_Caixa_Janeiro345911[[#This Row],[JUNHO]]</f>
        <v>0</v>
      </c>
      <c r="I43" s="358"/>
      <c r="J43" s="359"/>
      <c r="K43" s="359"/>
      <c r="L43" s="359"/>
      <c r="M43" s="359"/>
      <c r="N43" s="361"/>
      <c r="O43" s="394">
        <f>SUM(Fluxo_de_Caixa_Janeiro3102013[[#This Row],[Janeiro]:[Dezembro]])</f>
        <v>0</v>
      </c>
      <c r="P43" s="140" t="str">
        <f t="shared" si="2"/>
        <v>0,00%</v>
      </c>
      <c r="Q43" s="395" t="s">
        <v>240</v>
      </c>
      <c r="R43" s="32"/>
    </row>
    <row r="44" spans="1:18" hidden="1" x14ac:dyDescent="0.25">
      <c r="B44" s="364">
        <f>Fluxo_de_Caixa_Janeiro[[#This Row],[Fluxo de Caixa 2026 CTR]]</f>
        <v>0</v>
      </c>
      <c r="C44" s="358"/>
      <c r="D44" s="359"/>
      <c r="E44" s="359"/>
      <c r="F44" s="359">
        <f>Fluxo_de_Caixa_Janeiro345[[#This Row],[ABRIL]]</f>
        <v>0</v>
      </c>
      <c r="G44" s="359">
        <f>Fluxo_de_Caixa_Janeiro3459[[#This Row],[MAIO]]</f>
        <v>0</v>
      </c>
      <c r="H44" s="359">
        <f>Fluxo_de_Caixa_Janeiro345911[[#This Row],[JUNHO]]</f>
        <v>0</v>
      </c>
      <c r="I44" s="358"/>
      <c r="J44" s="359"/>
      <c r="K44" s="359"/>
      <c r="L44" s="359"/>
      <c r="M44" s="359"/>
      <c r="N44" s="361"/>
      <c r="O44" s="394">
        <f>SUM(Fluxo_de_Caixa_Janeiro3102013[[#This Row],[Janeiro]:[Dezembro]])</f>
        <v>0</v>
      </c>
      <c r="P44" s="140" t="str">
        <f t="shared" si="2"/>
        <v>0,00%</v>
      </c>
      <c r="Q44" s="395" t="s">
        <v>240</v>
      </c>
      <c r="R44" s="32"/>
    </row>
    <row r="45" spans="1:18" hidden="1" x14ac:dyDescent="0.25">
      <c r="B45" s="51">
        <f>Fluxo_de_Caixa_Janeiro[[#This Row],[Fluxo de Caixa 2026 CTR]]</f>
        <v>0</v>
      </c>
      <c r="C45" s="35"/>
      <c r="D45" s="62"/>
      <c r="E45" s="62"/>
      <c r="F45" s="62">
        <f>Fluxo_de_Caixa_Janeiro345[[#This Row],[ABRIL]]</f>
        <v>0</v>
      </c>
      <c r="G45" s="62">
        <f>Fluxo_de_Caixa_Janeiro3459[[#This Row],[MAIO]]</f>
        <v>0</v>
      </c>
      <c r="H45" s="62">
        <f>Fluxo_de_Caixa_Janeiro345911[[#This Row],[JUNHO]]</f>
        <v>0</v>
      </c>
      <c r="I45" s="35"/>
      <c r="J45" s="62"/>
      <c r="K45" s="62"/>
      <c r="L45" s="62"/>
      <c r="M45" s="62"/>
      <c r="N45" s="119"/>
      <c r="O45" s="214">
        <f>SUM(Fluxo_de_Caixa_Janeiro3102013[[#This Row],[Janeiro]:[Dezembro]])</f>
        <v>0</v>
      </c>
      <c r="P45" s="140" t="str">
        <f t="shared" si="2"/>
        <v>0,00%</v>
      </c>
      <c r="Q45" s="63" t="s">
        <v>240</v>
      </c>
      <c r="R45" s="32" t="str">
        <f>IF(Fluxo_de_Caixa_Janeiro3102013[[#This Row],[% ACUMULADO  2º SEMEST 2026]]&gt;=Fluxo_de_Caixa_Janeiro3102013[[#This Row],[Coluna1]],"VERDADEIRO","FALSO")</f>
        <v>VERDADEIRO</v>
      </c>
    </row>
    <row r="46" spans="1:18" hidden="1" x14ac:dyDescent="0.25">
      <c r="B46" s="51">
        <f>Fluxo_de_Caixa_Janeiro[[#This Row],[Fluxo de Caixa 2026 CTR]]</f>
        <v>0</v>
      </c>
      <c r="C46" s="35"/>
      <c r="D46" s="62"/>
      <c r="E46" s="62"/>
      <c r="F46" s="62">
        <f>Fluxo_de_Caixa_Janeiro345[[#This Row],[ABRIL]]</f>
        <v>0</v>
      </c>
      <c r="G46" s="62">
        <f>Fluxo_de_Caixa_Janeiro3459[[#This Row],[MAIO]]</f>
        <v>0</v>
      </c>
      <c r="H46" s="62">
        <f>Fluxo_de_Caixa_Janeiro345911[[#This Row],[JUNHO]]</f>
        <v>0</v>
      </c>
      <c r="I46" s="35"/>
      <c r="J46" s="62"/>
      <c r="K46" s="62"/>
      <c r="L46" s="62"/>
      <c r="M46" s="62"/>
      <c r="N46" s="119"/>
      <c r="O46" s="214">
        <f>SUM(Fluxo_de_Caixa_Janeiro3102013[[#This Row],[Janeiro]:[Dezembro]])</f>
        <v>0</v>
      </c>
      <c r="P46" s="140" t="str">
        <f t="shared" si="2"/>
        <v>0,00%</v>
      </c>
      <c r="Q46" s="63" t="s">
        <v>240</v>
      </c>
      <c r="R46" s="32" t="str">
        <f>IF(Fluxo_de_Caixa_Janeiro3102013[[#This Row],[% ACUMULADO  2º SEMEST 2026]]&gt;=Fluxo_de_Caixa_Janeiro3102013[[#This Row],[Coluna1]],"VERDADEIRO","FALSO")</f>
        <v>VERDADEIRO</v>
      </c>
    </row>
    <row r="47" spans="1:18" ht="15.75" hidden="1" thickBot="1" x14ac:dyDescent="0.3">
      <c r="B47" s="51">
        <f>Fluxo_de_Caixa_Janeiro[[#This Row],[Fluxo de Caixa 2026 CTR]]</f>
        <v>0</v>
      </c>
      <c r="C47" s="36"/>
      <c r="D47" s="82"/>
      <c r="E47" s="82"/>
      <c r="F47" s="82">
        <f>Fluxo_de_Caixa_Janeiro345[[#This Row],[ABRIL]]</f>
        <v>0</v>
      </c>
      <c r="G47" s="82">
        <f>Fluxo_de_Caixa_Janeiro3459[[#This Row],[MAIO]]</f>
        <v>0</v>
      </c>
      <c r="H47" s="82">
        <f>Fluxo_de_Caixa_Janeiro345911[[#This Row],[JUNHO]]</f>
        <v>0</v>
      </c>
      <c r="I47" s="36"/>
      <c r="J47" s="82"/>
      <c r="K47" s="82"/>
      <c r="L47" s="82"/>
      <c r="M47" s="82"/>
      <c r="N47" s="120"/>
      <c r="O47" s="215">
        <f>SUM(Fluxo_de_Caixa_Janeiro3102013[[#This Row],[Janeiro]:[Dezembro]])</f>
        <v>0</v>
      </c>
      <c r="P47" s="141" t="str">
        <f t="shared" si="2"/>
        <v>0,00%</v>
      </c>
      <c r="Q47" s="86" t="s">
        <v>240</v>
      </c>
      <c r="R47" s="32" t="str">
        <f>IF(Fluxo_de_Caixa_Janeiro3102013[[#This Row],[% ACUMULADO  2º SEMEST 2026]]&gt;=Fluxo_de_Caixa_Janeiro3102013[[#This Row],[Coluna1]],"VERDADEIRO","FALSO")</f>
        <v>VERDADEIRO</v>
      </c>
    </row>
    <row r="48" spans="1:18" s="1" customFormat="1" ht="24" thickBot="1" x14ac:dyDescent="0.4">
      <c r="A48" s="11" t="s">
        <v>55</v>
      </c>
      <c r="B48" s="48" t="str">
        <f>Fluxo_de_Caixa_Janeiro[[#This Row],[Fluxo de Caixa 2026 CTR]]</f>
        <v>1.5. Receita de Garantias</v>
      </c>
      <c r="C48" s="38"/>
      <c r="D48" s="87"/>
      <c r="E48" s="87"/>
      <c r="F48" s="87">
        <f>Fluxo_de_Caixa_Janeiro345[[#This Row],[ABRIL]]</f>
        <v>0</v>
      </c>
      <c r="G48" s="87">
        <f>Fluxo_de_Caixa_Janeiro3459[[#This Row],[MAIO]]</f>
        <v>0</v>
      </c>
      <c r="H48" s="87">
        <f>Fluxo_de_Caixa_Janeiro345911[[#This Row],[JUNHO]]</f>
        <v>0</v>
      </c>
      <c r="I48" s="38"/>
      <c r="J48" s="87"/>
      <c r="K48" s="87"/>
      <c r="L48" s="87"/>
      <c r="M48" s="87"/>
      <c r="N48" s="125"/>
      <c r="O48" s="216">
        <f>SUM(Fluxo_de_Caixa_Janeiro3102013[[#This Row],[Janeiro]:[Dezembro]])</f>
        <v>0</v>
      </c>
      <c r="P48" s="19">
        <f>SUM(P49:P51)</f>
        <v>0</v>
      </c>
      <c r="Q48" s="69">
        <v>0</v>
      </c>
      <c r="R48" s="32"/>
    </row>
    <row r="49" spans="1:19" x14ac:dyDescent="0.25">
      <c r="B49" s="49" t="str">
        <f>Fluxo_de_Caixa_Janeiro[[#This Row],[Fluxo de Caixa 2026 CTR]]</f>
        <v>1.2.01. RECEITA EM DINHEIRO</v>
      </c>
      <c r="C49" s="41"/>
      <c r="D49" s="81"/>
      <c r="E49" s="81"/>
      <c r="F49" s="81">
        <f>Fluxo_de_Caixa_Janeiro345[[#This Row],[ABRIL]]</f>
        <v>0</v>
      </c>
      <c r="G49" s="81">
        <f>Fluxo_de_Caixa_Janeiro3459[[#This Row],[MAIO]]</f>
        <v>0</v>
      </c>
      <c r="H49" s="81">
        <f>Fluxo_de_Caixa_Janeiro345911[[#This Row],[JUNHO]]</f>
        <v>0</v>
      </c>
      <c r="I49" s="41"/>
      <c r="J49" s="81"/>
      <c r="K49" s="81"/>
      <c r="L49" s="81"/>
      <c r="M49" s="81"/>
      <c r="N49" s="118"/>
      <c r="O49" s="213">
        <f>SUM(Fluxo_de_Caixa_Janeiro3102013[[#This Row],[Janeiro]:[Dezembro]])</f>
        <v>0</v>
      </c>
      <c r="P49" s="29" t="str">
        <f>IF(O49=0,"0,00%",O49/$O$332)</f>
        <v>0,00%</v>
      </c>
      <c r="Q49" s="63" t="s">
        <v>240</v>
      </c>
      <c r="R49" s="32" t="str">
        <f>IF(Fluxo_de_Caixa_Janeiro3102013[[#This Row],[% ACUMULADO  2º SEMEST 2026]]&gt;=Fluxo_de_Caixa_Janeiro3102013[[#This Row],[Coluna1]],"VERDADEIRO","FALSO")</f>
        <v>VERDADEIRO</v>
      </c>
    </row>
    <row r="50" spans="1:19" ht="15.75" thickBot="1" x14ac:dyDescent="0.3">
      <c r="B50" s="50" t="str">
        <f>Fluxo_de_Caixa_Janeiro[[#This Row],[Fluxo de Caixa 2026 CTR]]</f>
        <v xml:space="preserve">1.2.02. RECEITA EM MERCADORIA </v>
      </c>
      <c r="C50" s="35"/>
      <c r="D50" s="62"/>
      <c r="E50" s="62"/>
      <c r="F50" s="62">
        <f>Fluxo_de_Caixa_Janeiro345[[#This Row],[ABRIL]]</f>
        <v>0</v>
      </c>
      <c r="G50" s="62">
        <f>Fluxo_de_Caixa_Janeiro3459[[#This Row],[MAIO]]</f>
        <v>0</v>
      </c>
      <c r="H50" s="62">
        <f>Fluxo_de_Caixa_Janeiro345911[[#This Row],[JUNHO]]</f>
        <v>0</v>
      </c>
      <c r="I50" s="35"/>
      <c r="J50" s="62"/>
      <c r="K50" s="62"/>
      <c r="L50" s="62"/>
      <c r="M50" s="62"/>
      <c r="N50" s="119"/>
      <c r="O50" s="214">
        <f>SUM(Fluxo_de_Caixa_Janeiro3102013[[#This Row],[Janeiro]:[Dezembro]])</f>
        <v>0</v>
      </c>
      <c r="P50" s="140" t="str">
        <f>IF(O50=0,"0,00%",O50/$O$332)</f>
        <v>0,00%</v>
      </c>
      <c r="Q50" s="63" t="s">
        <v>240</v>
      </c>
      <c r="R50" s="32" t="str">
        <f>IF(Fluxo_de_Caixa_Janeiro3102013[[#This Row],[% ACUMULADO  2º SEMEST 2026]]&gt;=Fluxo_de_Caixa_Janeiro3102013[[#This Row],[Coluna1]],"VERDADEIRO","FALSO")</f>
        <v>VERDADEIRO</v>
      </c>
    </row>
    <row r="51" spans="1:19" ht="15.75" hidden="1" thickBot="1" x14ac:dyDescent="0.3">
      <c r="B51" s="58">
        <f>Fluxo_de_Caixa_Janeiro[[#This Row],[Fluxo de Caixa 2026 CTR]]</f>
        <v>0</v>
      </c>
      <c r="C51" s="36"/>
      <c r="D51" s="82"/>
      <c r="E51" s="82"/>
      <c r="F51" s="82">
        <f>Fluxo_de_Caixa_Janeiro345[[#This Row],[ABRIL]]</f>
        <v>0</v>
      </c>
      <c r="G51" s="82">
        <f>Fluxo_de_Caixa_Janeiro3459[[#This Row],[MAIO]]</f>
        <v>0</v>
      </c>
      <c r="H51" s="82">
        <f>Fluxo_de_Caixa_Janeiro345911[[#This Row],[JUNHO]]</f>
        <v>0</v>
      </c>
      <c r="I51" s="36"/>
      <c r="J51" s="82"/>
      <c r="K51" s="82"/>
      <c r="L51" s="82"/>
      <c r="M51" s="82"/>
      <c r="N51" s="120"/>
      <c r="O51" s="215">
        <f>SUM(Fluxo_de_Caixa_Janeiro3102013[[#This Row],[Janeiro]:[Dezembro]])</f>
        <v>0</v>
      </c>
      <c r="P51" s="142" t="str">
        <f>IF(O51=0,"0,00%",O51/$O$332)</f>
        <v>0,00%</v>
      </c>
      <c r="Q51" s="86" t="s">
        <v>240</v>
      </c>
      <c r="R51" s="32" t="str">
        <f>IF(Fluxo_de_Caixa_Janeiro3102013[[#This Row],[% ACUMULADO  2º SEMEST 2026]]&gt;=Fluxo_de_Caixa_Janeiro3102013[[#This Row],[Coluna1]],"VERDADEIRO","FALSO")</f>
        <v>VERDADEIRO</v>
      </c>
    </row>
    <row r="52" spans="1:19" s="2" customFormat="1" ht="24" thickBot="1" x14ac:dyDescent="0.4">
      <c r="A52" s="12" t="s">
        <v>22</v>
      </c>
      <c r="B52" s="53" t="str">
        <f>Fluxo_de_Caixa_Janeiro[[#This Row],[Fluxo de Caixa 2026 CTR]]</f>
        <v>2.1. Despesa Com Custo de Aquisição</v>
      </c>
      <c r="C52" s="42"/>
      <c r="D52" s="88"/>
      <c r="E52" s="88"/>
      <c r="F52" s="88">
        <f>Fluxo_de_Caixa_Janeiro345[[#This Row],[ABRIL]]</f>
        <v>-376222.97</v>
      </c>
      <c r="G52" s="88">
        <f>Fluxo_de_Caixa_Janeiro3459[[#This Row],[MAIO]]</f>
        <v>-206362.87</v>
      </c>
      <c r="H52" s="88">
        <f>Fluxo_de_Caixa_Janeiro345911[[#This Row],[JUNHO]]</f>
        <v>0</v>
      </c>
      <c r="I52" s="42"/>
      <c r="J52" s="88"/>
      <c r="K52" s="88"/>
      <c r="L52" s="88"/>
      <c r="M52" s="88"/>
      <c r="N52" s="126"/>
      <c r="O52" s="217">
        <f>SUM(Fluxo_de_Caixa_Janeiro3102013[[#This Row],[Janeiro]:[Dezembro]])</f>
        <v>-582585.84</v>
      </c>
      <c r="P52" s="21">
        <f>-IFERROR(O52/$O$27,"0,00")</f>
        <v>0.33130224275289577</v>
      </c>
      <c r="Q52" s="70">
        <v>0.69140732753354062</v>
      </c>
      <c r="R52" s="32" t="str">
        <f>IF(Fluxo_de_Caixa_Janeiro3102013[[#This Row],[% ACUMULADO  2º SEMEST 2026]]&lt;=Fluxo_de_Caixa_Janeiro3102013[[#This Row],[Coluna1]],"VERDADEIRO","FALSO")</f>
        <v>VERDADEIRO</v>
      </c>
      <c r="S52" s="473"/>
    </row>
    <row r="53" spans="1:19" x14ac:dyDescent="0.25">
      <c r="B53" s="166" t="str">
        <f>Fluxo_de_Caixa_Janeiro[[#This Row],[Fluxo de Caixa 2026 CTR]]</f>
        <v>2.1.01.FORNECEDORES DE MERCADORIAS REVENDA</v>
      </c>
      <c r="C53" s="41"/>
      <c r="D53" s="81"/>
      <c r="E53" s="81"/>
      <c r="F53" s="81">
        <f>Fluxo_de_Caixa_Janeiro345[[#This Row],[ABRIL]]</f>
        <v>366608.48</v>
      </c>
      <c r="G53" s="81">
        <f>Fluxo_de_Caixa_Janeiro3459[[#This Row],[MAIO]]</f>
        <v>200802.91</v>
      </c>
      <c r="H53" s="81">
        <f>Fluxo_de_Caixa_Janeiro345911[[#This Row],[JUNHO]]</f>
        <v>0</v>
      </c>
      <c r="I53" s="41"/>
      <c r="J53" s="81"/>
      <c r="K53" s="81"/>
      <c r="L53" s="81"/>
      <c r="M53" s="81"/>
      <c r="N53" s="118"/>
      <c r="O53" s="218">
        <f>SUM(Fluxo_de_Caixa_Janeiro3102013[[#This Row],[Janeiro]:[Dezembro]])</f>
        <v>567411.39</v>
      </c>
      <c r="P53" s="192">
        <f t="shared" ref="P53:P59" si="3">IFERROR(O53/$O$27,"0,00%")</f>
        <v>0.3226729061429609</v>
      </c>
      <c r="Q53" s="71">
        <v>0.67256528057533715</v>
      </c>
      <c r="R53" s="32" t="str">
        <f>IF(Fluxo_de_Caixa_Janeiro3102013[[#This Row],[% ACUMULADO  2º SEMEST 2026]]&lt;=Fluxo_de_Caixa_Janeiro3102013[[#This Row],[Coluna1]],"VERDADEIRO","FALSO")</f>
        <v>VERDADEIRO</v>
      </c>
    </row>
    <row r="54" spans="1:19" x14ac:dyDescent="0.25">
      <c r="B54" s="52" t="str">
        <f>Fluxo_de_Caixa_Janeiro[[#This Row],[Fluxo de Caixa 2026 CTR]]</f>
        <v>2.1.02.ADIANT. FORNEC. MERCA. REVENDA</v>
      </c>
      <c r="C54" s="35"/>
      <c r="D54" s="62"/>
      <c r="E54" s="62"/>
      <c r="F54" s="62">
        <f>Fluxo_de_Caixa_Janeiro345[[#This Row],[ABRIL]]</f>
        <v>0</v>
      </c>
      <c r="G54" s="62">
        <f>Fluxo_de_Caixa_Janeiro3459[[#This Row],[MAIO]]</f>
        <v>0</v>
      </c>
      <c r="H54" s="62">
        <f>Fluxo_de_Caixa_Janeiro345911[[#This Row],[JUNHO]]</f>
        <v>0</v>
      </c>
      <c r="I54" s="35"/>
      <c r="J54" s="62"/>
      <c r="K54" s="62"/>
      <c r="L54" s="62"/>
      <c r="M54" s="62"/>
      <c r="N54" s="119"/>
      <c r="O54" s="219">
        <f>SUM(Fluxo_de_Caixa_Janeiro3102013[[#This Row],[Janeiro]:[Dezembro]])</f>
        <v>0</v>
      </c>
      <c r="P54" s="192">
        <f t="shared" si="3"/>
        <v>0</v>
      </c>
      <c r="Q54" s="71">
        <v>0</v>
      </c>
      <c r="R54" s="32" t="str">
        <f>IF(Fluxo_de_Caixa_Janeiro3102013[[#This Row],[% ACUMULADO  2º SEMEST 2026]]&lt;=Fluxo_de_Caixa_Janeiro3102013[[#This Row],[Coluna1]],"VERDADEIRO","FALSO")</f>
        <v>VERDADEIRO</v>
      </c>
    </row>
    <row r="55" spans="1:19" x14ac:dyDescent="0.25">
      <c r="B55" s="52" t="str">
        <f>Fluxo_de_Caixa_Janeiro[[#This Row],[Fluxo de Caixa 2026 CTR]]</f>
        <v>2.1.03.TRANSPORTADORA MERCA. REVENDA</v>
      </c>
      <c r="C55" s="35"/>
      <c r="D55" s="62"/>
      <c r="E55" s="62"/>
      <c r="F55" s="62">
        <f>Fluxo_de_Caixa_Janeiro345[[#This Row],[ABRIL]]</f>
        <v>9614.49</v>
      </c>
      <c r="G55" s="62">
        <f>Fluxo_de_Caixa_Janeiro3459[[#This Row],[MAIO]]</f>
        <v>5559.96</v>
      </c>
      <c r="H55" s="62">
        <f>Fluxo_de_Caixa_Janeiro345911[[#This Row],[JUNHO]]</f>
        <v>0</v>
      </c>
      <c r="I55" s="35"/>
      <c r="J55" s="62"/>
      <c r="K55" s="62"/>
      <c r="L55" s="62"/>
      <c r="M55" s="62"/>
      <c r="N55" s="119"/>
      <c r="O55" s="219">
        <f>SUM(Fluxo_de_Caixa_Janeiro3102013[[#This Row],[Janeiro]:[Dezembro]])</f>
        <v>15174.45</v>
      </c>
      <c r="P55" s="192">
        <f t="shared" si="3"/>
        <v>8.629336609934906E-3</v>
      </c>
      <c r="Q55" s="71">
        <v>1.8842046958203316E-2</v>
      </c>
      <c r="R55" s="32" t="str">
        <f>IF(Fluxo_de_Caixa_Janeiro3102013[[#This Row],[% ACUMULADO  2º SEMEST 2026]]&lt;=Fluxo_de_Caixa_Janeiro3102013[[#This Row],[Coluna1]],"VERDADEIRO","FALSO")</f>
        <v>VERDADEIRO</v>
      </c>
    </row>
    <row r="56" spans="1:19" x14ac:dyDescent="0.25">
      <c r="B56" s="52" t="str">
        <f>Fluxo_de_Caixa_Janeiro[[#This Row],[Fluxo de Caixa 2026 CTR]]</f>
        <v>2.1.04.OUTROS CUSTOS DE MERC.REVENDA</v>
      </c>
      <c r="C56" s="35"/>
      <c r="D56" s="62"/>
      <c r="E56" s="62"/>
      <c r="F56" s="62">
        <f>Fluxo_de_Caixa_Janeiro345[[#This Row],[ABRIL]]</f>
        <v>0</v>
      </c>
      <c r="G56" s="62">
        <f>Fluxo_de_Caixa_Janeiro3459[[#This Row],[MAIO]]</f>
        <v>0</v>
      </c>
      <c r="H56" s="62">
        <f>Fluxo_de_Caixa_Janeiro345911[[#This Row],[JUNHO]]</f>
        <v>0</v>
      </c>
      <c r="I56" s="35"/>
      <c r="J56" s="62"/>
      <c r="K56" s="62"/>
      <c r="L56" s="62"/>
      <c r="M56" s="62"/>
      <c r="N56" s="119"/>
      <c r="O56" s="219">
        <f>SUM(Fluxo_de_Caixa_Janeiro3102013[[#This Row],[Janeiro]:[Dezembro]])</f>
        <v>0</v>
      </c>
      <c r="P56" s="192">
        <f t="shared" si="3"/>
        <v>0</v>
      </c>
      <c r="Q56" s="71">
        <v>0</v>
      </c>
      <c r="R56" s="32" t="str">
        <f>IF(Fluxo_de_Caixa_Janeiro3102013[[#This Row],[% ACUMULADO  2º SEMEST 2026]]&lt;=Fluxo_de_Caixa_Janeiro3102013[[#This Row],[Coluna1]],"VERDADEIRO","FALSO")</f>
        <v>VERDADEIRO</v>
      </c>
    </row>
    <row r="57" spans="1:19" ht="15.75" thickBot="1" x14ac:dyDescent="0.3">
      <c r="B57" s="52" t="str">
        <f>Fluxo_de_Caixa_Janeiro[[#This Row],[Fluxo de Caixa 2026 CTR]]</f>
        <v>2.1.05.TRANSFE DE MERCAD REVENDA MATRIZ</v>
      </c>
      <c r="C57" s="35"/>
      <c r="D57" s="62"/>
      <c r="E57" s="62"/>
      <c r="F57" s="62">
        <f>Fluxo_de_Caixa_Janeiro345[[#This Row],[ABRIL]]</f>
        <v>0</v>
      </c>
      <c r="G57" s="62">
        <f>Fluxo_de_Caixa_Janeiro3459[[#This Row],[MAIO]]</f>
        <v>0</v>
      </c>
      <c r="H57" s="62">
        <f>Fluxo_de_Caixa_Janeiro345911[[#This Row],[JUNHO]]</f>
        <v>0</v>
      </c>
      <c r="I57" s="35"/>
      <c r="J57" s="62"/>
      <c r="K57" s="62"/>
      <c r="L57" s="62"/>
      <c r="M57" s="62"/>
      <c r="N57" s="119"/>
      <c r="O57" s="219">
        <f>SUM(Fluxo_de_Caixa_Janeiro3102013[[#This Row],[Janeiro]:[Dezembro]])</f>
        <v>0</v>
      </c>
      <c r="P57" s="192">
        <f t="shared" si="3"/>
        <v>0</v>
      </c>
      <c r="Q57" s="71">
        <v>0</v>
      </c>
      <c r="R57" s="32" t="str">
        <f>IF(Fluxo_de_Caixa_Janeiro3102013[[#This Row],[% ACUMULADO  2º SEMEST 2026]]&lt;=Fluxo_de_Caixa_Janeiro3102013[[#This Row],[Coluna1]],"VERDADEIRO","FALSO")</f>
        <v>VERDADEIRO</v>
      </c>
    </row>
    <row r="58" spans="1:19" hidden="1" x14ac:dyDescent="0.25">
      <c r="B58" s="52">
        <f>Fluxo_de_Caixa_Janeiro[[#This Row],[Fluxo de Caixa 2026 CTR]]</f>
        <v>0</v>
      </c>
      <c r="C58" s="35"/>
      <c r="D58" s="62"/>
      <c r="E58" s="62"/>
      <c r="F58" s="62">
        <f>Fluxo_de_Caixa_Janeiro345[[#This Row],[ABRIL]]</f>
        <v>0</v>
      </c>
      <c r="G58" s="62">
        <f>Fluxo_de_Caixa_Janeiro3459[[#This Row],[MAIO]]</f>
        <v>0</v>
      </c>
      <c r="H58" s="62">
        <f>Fluxo_de_Caixa_Janeiro345911[[#This Row],[JUNHO]]</f>
        <v>0</v>
      </c>
      <c r="I58" s="35"/>
      <c r="J58" s="62"/>
      <c r="K58" s="62"/>
      <c r="L58" s="62"/>
      <c r="M58" s="62"/>
      <c r="N58" s="119"/>
      <c r="O58" s="219">
        <f>SUM(Fluxo_de_Caixa_Janeiro3102013[[#This Row],[Janeiro]:[Dezembro]])</f>
        <v>0</v>
      </c>
      <c r="P58" s="192">
        <f t="shared" si="3"/>
        <v>0</v>
      </c>
      <c r="Q58" s="71">
        <v>0</v>
      </c>
      <c r="R58" s="32" t="str">
        <f>IF(Fluxo_de_Caixa_Janeiro3102013[[#This Row],[% ACUMULADO  2º SEMEST 2026]]&lt;=Fluxo_de_Caixa_Janeiro3102013[[#This Row],[Coluna1]],"VERDADEIRO","FALSO")</f>
        <v>VERDADEIRO</v>
      </c>
    </row>
    <row r="59" spans="1:19" ht="15.75" hidden="1" thickBot="1" x14ac:dyDescent="0.3">
      <c r="B59" s="167">
        <f>Fluxo_de_Caixa_Janeiro[[#This Row],[Fluxo de Caixa 2026 CTR]]</f>
        <v>0</v>
      </c>
      <c r="C59" s="36"/>
      <c r="D59" s="82"/>
      <c r="E59" s="82"/>
      <c r="F59" s="82">
        <f>Fluxo_de_Caixa_Janeiro345[[#This Row],[ABRIL]]</f>
        <v>0</v>
      </c>
      <c r="G59" s="82">
        <f>Fluxo_de_Caixa_Janeiro3459[[#This Row],[MAIO]]</f>
        <v>0</v>
      </c>
      <c r="H59" s="82">
        <f>Fluxo_de_Caixa_Janeiro345911[[#This Row],[JUNHO]]</f>
        <v>0</v>
      </c>
      <c r="I59" s="36"/>
      <c r="J59" s="82"/>
      <c r="K59" s="82"/>
      <c r="L59" s="82"/>
      <c r="M59" s="82"/>
      <c r="N59" s="120"/>
      <c r="O59" s="220">
        <f>SUM(Fluxo_de_Caixa_Janeiro3102013[[#This Row],[Janeiro]:[Dezembro]])</f>
        <v>0</v>
      </c>
      <c r="P59" s="192">
        <f t="shared" si="3"/>
        <v>0</v>
      </c>
      <c r="Q59" s="89">
        <v>0</v>
      </c>
      <c r="R59" s="32" t="str">
        <f>IF(Fluxo_de_Caixa_Janeiro3102013[[#This Row],[% ACUMULADO  2º SEMEST 2026]]&lt;=Fluxo_de_Caixa_Janeiro3102013[[#This Row],[Coluna1]],"VERDADEIRO","FALSO")</f>
        <v>VERDADEIRO</v>
      </c>
    </row>
    <row r="60" spans="1:19" s="2" customFormat="1" ht="24" thickBot="1" x14ac:dyDescent="0.4">
      <c r="A60" s="12" t="s">
        <v>10</v>
      </c>
      <c r="B60" s="53" t="str">
        <f>Fluxo_de_Caixa_Janeiro[[#This Row],[Fluxo de Caixa 2026 CTR]]</f>
        <v>2.2. Inadimplência e Perdas</v>
      </c>
      <c r="C60" s="42"/>
      <c r="D60" s="88"/>
      <c r="E60" s="88"/>
      <c r="F60" s="88">
        <f>Fluxo_de_Caixa_Janeiro345[[#This Row],[ABRIL]]</f>
        <v>0</v>
      </c>
      <c r="G60" s="88">
        <f>Fluxo_de_Caixa_Janeiro3459[[#This Row],[MAIO]]</f>
        <v>-4302.38</v>
      </c>
      <c r="H60" s="88">
        <f>Fluxo_de_Caixa_Janeiro345911[[#This Row],[JUNHO]]</f>
        <v>0</v>
      </c>
      <c r="I60" s="42"/>
      <c r="J60" s="88"/>
      <c r="K60" s="88"/>
      <c r="L60" s="88"/>
      <c r="M60" s="88"/>
      <c r="N60" s="126"/>
      <c r="O60" s="217">
        <f>SUM(Fluxo_de_Caixa_Janeiro3102013[[#This Row],[Janeiro]:[Dezembro]])</f>
        <v>-4302.38</v>
      </c>
      <c r="P60" s="21">
        <f>-IFERROR(O60/$O$27,"0,00")</f>
        <v>2.4466577203029923E-3</v>
      </c>
      <c r="Q60" s="70">
        <v>3.0111072183142194E-4</v>
      </c>
      <c r="R60" s="32" t="str">
        <f>IF(Fluxo_de_Caixa_Janeiro3102013[[#This Row],[% ACUMULADO  2º SEMEST 2026]]&lt;=Fluxo_de_Caixa_Janeiro3102013[[#This Row],[Coluna1]],"VERDADEIRO","FALSO")</f>
        <v>FALSO</v>
      </c>
    </row>
    <row r="61" spans="1:19" x14ac:dyDescent="0.25">
      <c r="B61" s="166" t="str">
        <f>Fluxo_de_Caixa_Janeiro[[#This Row],[Fluxo de Caixa 2026 CTR]]</f>
        <v>2.2.01.CONTAS PERDIDAS/NÃO PAGAS</v>
      </c>
      <c r="C61" s="41"/>
      <c r="D61" s="81"/>
      <c r="E61" s="81"/>
      <c r="F61" s="81">
        <f>Fluxo_de_Caixa_Janeiro345[[#This Row],[ABRIL]]</f>
        <v>0</v>
      </c>
      <c r="G61" s="81">
        <f>Fluxo_de_Caixa_Janeiro3459[[#This Row],[MAIO]]</f>
        <v>0</v>
      </c>
      <c r="H61" s="81">
        <f>Fluxo_de_Caixa_Janeiro345911[[#This Row],[JUNHO]]</f>
        <v>0</v>
      </c>
      <c r="I61" s="41"/>
      <c r="J61" s="81"/>
      <c r="K61" s="81"/>
      <c r="L61" s="81"/>
      <c r="M61" s="81"/>
      <c r="N61" s="118"/>
      <c r="O61" s="218">
        <f>SUM(Fluxo_de_Caixa_Janeiro3102013[[#This Row],[Janeiro]:[Dezembro]])</f>
        <v>0</v>
      </c>
      <c r="P61" s="192">
        <f t="shared" ref="P61:P69" si="4">IFERROR(O61/$O$27,"0,00%")</f>
        <v>0</v>
      </c>
      <c r="Q61" s="71">
        <v>0</v>
      </c>
      <c r="R61" s="32" t="str">
        <f>IF(Fluxo_de_Caixa_Janeiro3102013[[#This Row],[% ACUMULADO  2º SEMEST 2026]]&lt;=Fluxo_de_Caixa_Janeiro3102013[[#This Row],[Coluna1]],"VERDADEIRO","FALSO")</f>
        <v>VERDADEIRO</v>
      </c>
    </row>
    <row r="62" spans="1:19" x14ac:dyDescent="0.25">
      <c r="B62" s="52" t="str">
        <f>Fluxo_de_Caixa_Janeiro[[#This Row],[Fluxo de Caixa 2026 CTR]]</f>
        <v>2.2.02.BOLETOS DESCONTADOS DEVOLVIDOS</v>
      </c>
      <c r="C62" s="35"/>
      <c r="D62" s="62"/>
      <c r="E62" s="62"/>
      <c r="F62" s="62">
        <f>Fluxo_de_Caixa_Janeiro345[[#This Row],[ABRIL]]</f>
        <v>0</v>
      </c>
      <c r="G62" s="62">
        <f>Fluxo_de_Caixa_Janeiro3459[[#This Row],[MAIO]]</f>
        <v>0</v>
      </c>
      <c r="H62" s="62">
        <f>Fluxo_de_Caixa_Janeiro345911[[#This Row],[JUNHO]]</f>
        <v>0</v>
      </c>
      <c r="I62" s="35"/>
      <c r="J62" s="62"/>
      <c r="K62" s="62"/>
      <c r="L62" s="62"/>
      <c r="M62" s="62"/>
      <c r="N62" s="119"/>
      <c r="O62" s="219">
        <f>SUM(Fluxo_de_Caixa_Janeiro3102013[[#This Row],[Janeiro]:[Dezembro]])</f>
        <v>0</v>
      </c>
      <c r="P62" s="192">
        <f t="shared" si="4"/>
        <v>0</v>
      </c>
      <c r="Q62" s="72">
        <v>0</v>
      </c>
      <c r="R62" s="32" t="str">
        <f>IF(Fluxo_de_Caixa_Janeiro3102013[[#This Row],[% ACUMULADO  2º SEMEST 2026]]&lt;=Fluxo_de_Caixa_Janeiro3102013[[#This Row],[Coluna1]],"VERDADEIRO","FALSO")</f>
        <v>VERDADEIRO</v>
      </c>
    </row>
    <row r="63" spans="1:19" x14ac:dyDescent="0.25">
      <c r="B63" s="52" t="str">
        <f>Fluxo_de_Caixa_Janeiro[[#This Row],[Fluxo de Caixa 2026 CTR]]</f>
        <v>2.2.03.CHEQUES DEVOLVIDOS</v>
      </c>
      <c r="C63" s="35"/>
      <c r="D63" s="62"/>
      <c r="E63" s="62"/>
      <c r="F63" s="62">
        <f>Fluxo_de_Caixa_Janeiro345[[#This Row],[ABRIL]]</f>
        <v>0</v>
      </c>
      <c r="G63" s="62">
        <f>Fluxo_de_Caixa_Janeiro3459[[#This Row],[MAIO]]</f>
        <v>0</v>
      </c>
      <c r="H63" s="62">
        <f>Fluxo_de_Caixa_Janeiro345911[[#This Row],[JUNHO]]</f>
        <v>0</v>
      </c>
      <c r="I63" s="35"/>
      <c r="J63" s="62"/>
      <c r="K63" s="62"/>
      <c r="L63" s="62"/>
      <c r="M63" s="62"/>
      <c r="N63" s="119"/>
      <c r="O63" s="219">
        <f>SUM(Fluxo_de_Caixa_Janeiro3102013[[#This Row],[Janeiro]:[Dezembro]])</f>
        <v>0</v>
      </c>
      <c r="P63" s="192">
        <f t="shared" si="4"/>
        <v>0</v>
      </c>
      <c r="Q63" s="72">
        <v>0</v>
      </c>
      <c r="R63" s="32" t="str">
        <f>IF(Fluxo_de_Caixa_Janeiro3102013[[#This Row],[% ACUMULADO  2º SEMEST 2026]]&lt;=Fluxo_de_Caixa_Janeiro3102013[[#This Row],[Coluna1]],"VERDADEIRO","FALSO")</f>
        <v>VERDADEIRO</v>
      </c>
    </row>
    <row r="64" spans="1:19" x14ac:dyDescent="0.25">
      <c r="B64" s="52" t="str">
        <f>Fluxo_de_Caixa_Janeiro[[#This Row],[Fluxo de Caixa 2026 CTR]]</f>
        <v>2.2.04.BOLETOS DESCONTADOS DEVOLVIDOS</v>
      </c>
      <c r="C64" s="35"/>
      <c r="D64" s="62"/>
      <c r="E64" s="62"/>
      <c r="F64" s="62">
        <f>Fluxo_de_Caixa_Janeiro345[[#This Row],[ABRIL]]</f>
        <v>0</v>
      </c>
      <c r="G64" s="62">
        <f>Fluxo_de_Caixa_Janeiro3459[[#This Row],[MAIO]]</f>
        <v>0</v>
      </c>
      <c r="H64" s="62">
        <f>Fluxo_de_Caixa_Janeiro345911[[#This Row],[JUNHO]]</f>
        <v>0</v>
      </c>
      <c r="I64" s="35"/>
      <c r="J64" s="62"/>
      <c r="K64" s="62"/>
      <c r="L64" s="62"/>
      <c r="M64" s="62"/>
      <c r="N64" s="119"/>
      <c r="O64" s="219">
        <f>SUM(Fluxo_de_Caixa_Janeiro3102013[[#This Row],[Janeiro]:[Dezembro]])</f>
        <v>0</v>
      </c>
      <c r="P64" s="192">
        <f t="shared" si="4"/>
        <v>0</v>
      </c>
      <c r="Q64" s="72">
        <v>3.0111072183142194E-4</v>
      </c>
      <c r="R64" s="32" t="str">
        <f>IF(Fluxo_de_Caixa_Janeiro3102013[[#This Row],[% ACUMULADO  2º SEMEST 2026]]&lt;=Fluxo_de_Caixa_Janeiro3102013[[#This Row],[Coluna1]],"VERDADEIRO","FALSO")</f>
        <v>VERDADEIRO</v>
      </c>
    </row>
    <row r="65" spans="1:18" ht="15.75" thickBot="1" x14ac:dyDescent="0.3">
      <c r="B65" s="52" t="str">
        <f>Fluxo_de_Caixa_Janeiro[[#This Row],[Fluxo de Caixa 2026 CTR]]</f>
        <v>2.2.05.PERDA,  ROUBO  E  DETERIORAÇÃO</v>
      </c>
      <c r="C65" s="35"/>
      <c r="D65" s="62"/>
      <c r="E65" s="62"/>
      <c r="F65" s="62">
        <f>Fluxo_de_Caixa_Janeiro345[[#This Row],[ABRIL]]</f>
        <v>0</v>
      </c>
      <c r="G65" s="62">
        <f>Fluxo_de_Caixa_Janeiro3459[[#This Row],[MAIO]]</f>
        <v>4302.38</v>
      </c>
      <c r="H65" s="62">
        <f>Fluxo_de_Caixa_Janeiro345911[[#This Row],[JUNHO]]</f>
        <v>0</v>
      </c>
      <c r="I65" s="35"/>
      <c r="J65" s="62"/>
      <c r="K65" s="62"/>
      <c r="L65" s="62"/>
      <c r="M65" s="62"/>
      <c r="N65" s="119"/>
      <c r="O65" s="219">
        <f>SUM(Fluxo_de_Caixa_Janeiro3102013[[#This Row],[Janeiro]:[Dezembro]])</f>
        <v>4302.38</v>
      </c>
      <c r="P65" s="192">
        <f t="shared" si="4"/>
        <v>2.4466577203029923E-3</v>
      </c>
      <c r="Q65" s="72">
        <v>0</v>
      </c>
      <c r="R65" s="32" t="str">
        <f>IF(Fluxo_de_Caixa_Janeiro3102013[[#This Row],[% ACUMULADO  2º SEMEST 2026]]&lt;=Fluxo_de_Caixa_Janeiro3102013[[#This Row],[Coluna1]],"VERDADEIRO","FALSO")</f>
        <v>FALSO</v>
      </c>
    </row>
    <row r="66" spans="1:18" hidden="1" x14ac:dyDescent="0.25">
      <c r="B66" s="52">
        <f>Fluxo_de_Caixa_Janeiro[[#This Row],[Fluxo de Caixa 2026 CTR]]</f>
        <v>0</v>
      </c>
      <c r="C66" s="35"/>
      <c r="D66" s="62"/>
      <c r="E66" s="62"/>
      <c r="F66" s="62">
        <f>Fluxo_de_Caixa_Janeiro345[[#This Row],[ABRIL]]</f>
        <v>0</v>
      </c>
      <c r="G66" s="62">
        <f>Fluxo_de_Caixa_Janeiro3459[[#This Row],[MAIO]]</f>
        <v>0</v>
      </c>
      <c r="H66" s="62">
        <f>Fluxo_de_Caixa_Janeiro345911[[#This Row],[JUNHO]]</f>
        <v>0</v>
      </c>
      <c r="I66" s="35"/>
      <c r="J66" s="62"/>
      <c r="K66" s="62"/>
      <c r="L66" s="62"/>
      <c r="M66" s="62"/>
      <c r="N66" s="119"/>
      <c r="O66" s="219">
        <f>SUM(Fluxo_de_Caixa_Janeiro3102013[[#This Row],[Janeiro]:[Dezembro]])</f>
        <v>0</v>
      </c>
      <c r="P66" s="192">
        <f t="shared" si="4"/>
        <v>0</v>
      </c>
      <c r="Q66" s="72">
        <v>0</v>
      </c>
      <c r="R66" s="32" t="str">
        <f>IF(Fluxo_de_Caixa_Janeiro3102013[[#This Row],[% ACUMULADO  2º SEMEST 2026]]&lt;=Fluxo_de_Caixa_Janeiro3102013[[#This Row],[Coluna1]],"VERDADEIRO","FALSO")</f>
        <v>VERDADEIRO</v>
      </c>
    </row>
    <row r="67" spans="1:18" hidden="1" x14ac:dyDescent="0.25">
      <c r="B67" s="52">
        <f>Fluxo_de_Caixa_Janeiro[[#This Row],[Fluxo de Caixa 2026 CTR]]</f>
        <v>0</v>
      </c>
      <c r="C67" s="35"/>
      <c r="D67" s="62"/>
      <c r="E67" s="62"/>
      <c r="F67" s="62">
        <f>Fluxo_de_Caixa_Janeiro345[[#This Row],[ABRIL]]</f>
        <v>0</v>
      </c>
      <c r="G67" s="62">
        <f>Fluxo_de_Caixa_Janeiro3459[[#This Row],[MAIO]]</f>
        <v>0</v>
      </c>
      <c r="H67" s="62">
        <f>Fluxo_de_Caixa_Janeiro345911[[#This Row],[JUNHO]]</f>
        <v>0</v>
      </c>
      <c r="I67" s="35"/>
      <c r="J67" s="62"/>
      <c r="K67" s="62"/>
      <c r="L67" s="62"/>
      <c r="M67" s="62"/>
      <c r="N67" s="119"/>
      <c r="O67" s="219">
        <f>SUM(Fluxo_de_Caixa_Janeiro3102013[[#This Row],[Janeiro]:[Dezembro]])</f>
        <v>0</v>
      </c>
      <c r="P67" s="192">
        <f t="shared" si="4"/>
        <v>0</v>
      </c>
      <c r="Q67" s="72">
        <v>0</v>
      </c>
      <c r="R67" s="32" t="str">
        <f>IF(Fluxo_de_Caixa_Janeiro3102013[[#This Row],[% ACUMULADO  2º SEMEST 2026]]&lt;=Fluxo_de_Caixa_Janeiro3102013[[#This Row],[Coluna1]],"VERDADEIRO","FALSO")</f>
        <v>VERDADEIRO</v>
      </c>
    </row>
    <row r="68" spans="1:18" hidden="1" x14ac:dyDescent="0.25">
      <c r="B68" s="52">
        <f>Fluxo_de_Caixa_Janeiro[[#This Row],[Fluxo de Caixa 2026 CTR]]</f>
        <v>0</v>
      </c>
      <c r="C68" s="35"/>
      <c r="D68" s="62"/>
      <c r="E68" s="62"/>
      <c r="F68" s="62">
        <f>Fluxo_de_Caixa_Janeiro345[[#This Row],[ABRIL]]</f>
        <v>0</v>
      </c>
      <c r="G68" s="62">
        <f>Fluxo_de_Caixa_Janeiro3459[[#This Row],[MAIO]]</f>
        <v>0</v>
      </c>
      <c r="H68" s="62">
        <f>Fluxo_de_Caixa_Janeiro345911[[#This Row],[JUNHO]]</f>
        <v>0</v>
      </c>
      <c r="I68" s="35"/>
      <c r="J68" s="62"/>
      <c r="K68" s="62"/>
      <c r="L68" s="62"/>
      <c r="M68" s="62"/>
      <c r="N68" s="119"/>
      <c r="O68" s="219">
        <f>SUM(Fluxo_de_Caixa_Janeiro3102013[[#This Row],[Janeiro]:[Dezembro]])</f>
        <v>0</v>
      </c>
      <c r="P68" s="192">
        <f t="shared" si="4"/>
        <v>0</v>
      </c>
      <c r="Q68" s="72">
        <v>0</v>
      </c>
      <c r="R68" s="32" t="str">
        <f>IF(Fluxo_de_Caixa_Janeiro3102013[[#This Row],[% ACUMULADO  2º SEMEST 2026]]&lt;=Fluxo_de_Caixa_Janeiro3102013[[#This Row],[Coluna1]],"VERDADEIRO","FALSO")</f>
        <v>VERDADEIRO</v>
      </c>
    </row>
    <row r="69" spans="1:18" ht="15.75" hidden="1" thickBot="1" x14ac:dyDescent="0.3">
      <c r="B69" s="167">
        <f>Fluxo_de_Caixa_Janeiro[[#This Row],[Fluxo de Caixa 2026 CTR]]</f>
        <v>0</v>
      </c>
      <c r="C69" s="36"/>
      <c r="D69" s="82"/>
      <c r="E69" s="82"/>
      <c r="F69" s="82">
        <f>Fluxo_de_Caixa_Janeiro345[[#This Row],[ABRIL]]</f>
        <v>0</v>
      </c>
      <c r="G69" s="82">
        <f>Fluxo_de_Caixa_Janeiro3459[[#This Row],[MAIO]]</f>
        <v>0</v>
      </c>
      <c r="H69" s="82">
        <f>Fluxo_de_Caixa_Janeiro345911[[#This Row],[JUNHO]]</f>
        <v>0</v>
      </c>
      <c r="I69" s="36"/>
      <c r="J69" s="82"/>
      <c r="K69" s="82"/>
      <c r="L69" s="82"/>
      <c r="M69" s="82"/>
      <c r="N69" s="120"/>
      <c r="O69" s="220">
        <f>SUM(Fluxo_de_Caixa_Janeiro3102013[[#This Row],[Janeiro]:[Dezembro]])</f>
        <v>0</v>
      </c>
      <c r="P69" s="192">
        <f t="shared" si="4"/>
        <v>0</v>
      </c>
      <c r="Q69" s="90">
        <v>0</v>
      </c>
      <c r="R69" s="32" t="str">
        <f>IF(Fluxo_de_Caixa_Janeiro3102013[[#This Row],[% ACUMULADO  2º SEMEST 2026]]&lt;=Fluxo_de_Caixa_Janeiro3102013[[#This Row],[Coluna1]],"VERDADEIRO","FALSO")</f>
        <v>VERDADEIRO</v>
      </c>
    </row>
    <row r="70" spans="1:18" s="3" customFormat="1" ht="24" thickBot="1" x14ac:dyDescent="0.4">
      <c r="A70" s="13" t="s">
        <v>9</v>
      </c>
      <c r="B70" s="53" t="str">
        <f>Fluxo_de_Caixa_Janeiro[[#This Row],[Fluxo de Caixa 2026 CTR]]</f>
        <v>2.3. Impostos</v>
      </c>
      <c r="C70" s="43"/>
      <c r="D70" s="91"/>
      <c r="E70" s="91"/>
      <c r="F70" s="91">
        <f>Fluxo_de_Caixa_Janeiro345[[#This Row],[ABRIL]]</f>
        <v>-68045.709999999992</v>
      </c>
      <c r="G70" s="91">
        <f>Fluxo_de_Caixa_Janeiro3459[[#This Row],[MAIO]]</f>
        <v>-48882.16</v>
      </c>
      <c r="H70" s="91">
        <f>Fluxo_de_Caixa_Janeiro345911[[#This Row],[JUNHO]]</f>
        <v>0</v>
      </c>
      <c r="I70" s="43"/>
      <c r="J70" s="91"/>
      <c r="K70" s="91"/>
      <c r="L70" s="91"/>
      <c r="M70" s="91"/>
      <c r="N70" s="127"/>
      <c r="O70" s="217">
        <f>SUM(Fluxo_de_Caixa_Janeiro3102013[[#This Row],[Janeiro]:[Dezembro]])</f>
        <v>-116927.87</v>
      </c>
      <c r="P70" s="21">
        <f>-IFERROR(O70/$O$27,"0,00")</f>
        <v>6.6494004679755067E-2</v>
      </c>
      <c r="Q70" s="73">
        <v>7.7385625085967788E-2</v>
      </c>
      <c r="R70" s="32" t="str">
        <f>IF(Fluxo_de_Caixa_Janeiro3102013[[#This Row],[% ACUMULADO  2º SEMEST 2026]]&lt;=Fluxo_de_Caixa_Janeiro3102013[[#This Row],[Coluna1]],"VERDADEIRO","FALSO")</f>
        <v>VERDADEIRO</v>
      </c>
    </row>
    <row r="71" spans="1:18" hidden="1" x14ac:dyDescent="0.25">
      <c r="B71" s="272">
        <f>Fluxo_de_Caixa_Janeiro[[#This Row],[Fluxo de Caixa 2026 CTR]]</f>
        <v>0</v>
      </c>
      <c r="C71" s="41"/>
      <c r="D71" s="81"/>
      <c r="E71" s="81"/>
      <c r="F71" s="81">
        <f>Fluxo_de_Caixa_Janeiro345[[#This Row],[ABRIL]]</f>
        <v>0</v>
      </c>
      <c r="G71" s="81">
        <f>Fluxo_de_Caixa_Janeiro3459[[#This Row],[MAIO]]</f>
        <v>0</v>
      </c>
      <c r="H71" s="81">
        <f>Fluxo_de_Caixa_Janeiro345911[[#This Row],[JUNHO]]</f>
        <v>0</v>
      </c>
      <c r="I71" s="41"/>
      <c r="J71" s="81"/>
      <c r="K71" s="81"/>
      <c r="L71" s="81"/>
      <c r="M71" s="81"/>
      <c r="N71" s="118"/>
      <c r="O71" s="218">
        <f>SUM(Fluxo_de_Caixa_Janeiro3102013[[#This Row],[Janeiro]:[Dezembro]])</f>
        <v>0</v>
      </c>
      <c r="P71" s="192">
        <f t="shared" ref="P71:P84" si="5">IFERROR(O71/$O$27,"0,00%")</f>
        <v>0</v>
      </c>
      <c r="Q71" s="71">
        <v>0</v>
      </c>
      <c r="R71" s="32" t="str">
        <f>IF(Fluxo_de_Caixa_Janeiro3102013[[#This Row],[% ACUMULADO  2º SEMEST 2026]]&lt;=Fluxo_de_Caixa_Janeiro3102013[[#This Row],[Coluna1]],"VERDADEIRO","FALSO")</f>
        <v>VERDADEIRO</v>
      </c>
    </row>
    <row r="72" spans="1:18" x14ac:dyDescent="0.25">
      <c r="B72" s="267" t="str">
        <f>Fluxo_de_Caixa_Janeiro[[#This Row],[Fluxo de Caixa 2026 CTR]]</f>
        <v xml:space="preserve">2.3.02.IRPJ (SE ESTIVER NO CMV) </v>
      </c>
      <c r="C72" s="35"/>
      <c r="D72" s="62"/>
      <c r="E72" s="62"/>
      <c r="F72" s="62">
        <f>Fluxo_de_Caixa_Janeiro345[[#This Row],[ABRIL]]</f>
        <v>0</v>
      </c>
      <c r="G72" s="62">
        <f>Fluxo_de_Caixa_Janeiro3459[[#This Row],[MAIO]]</f>
        <v>0</v>
      </c>
      <c r="H72" s="62">
        <f>Fluxo_de_Caixa_Janeiro345911[[#This Row],[JUNHO]]</f>
        <v>0</v>
      </c>
      <c r="I72" s="35"/>
      <c r="J72" s="62"/>
      <c r="K72" s="62"/>
      <c r="L72" s="62"/>
      <c r="M72" s="62"/>
      <c r="N72" s="119"/>
      <c r="O72" s="219">
        <f>SUM(Fluxo_de_Caixa_Janeiro3102013[[#This Row],[Janeiro]:[Dezembro]])</f>
        <v>0</v>
      </c>
      <c r="P72" s="192">
        <f t="shared" si="5"/>
        <v>0</v>
      </c>
      <c r="Q72" s="71">
        <v>2.4751017181350289E-2</v>
      </c>
      <c r="R72" s="32" t="str">
        <f>IF(Fluxo_de_Caixa_Janeiro3102013[[#This Row],[% ACUMULADO  2º SEMEST 2026]]&lt;=Fluxo_de_Caixa_Janeiro3102013[[#This Row],[Coluna1]],"VERDADEIRO","FALSO")</f>
        <v>VERDADEIRO</v>
      </c>
    </row>
    <row r="73" spans="1:18" x14ac:dyDescent="0.25">
      <c r="B73" s="267" t="str">
        <f>Fluxo_de_Caixa_Janeiro[[#This Row],[Fluxo de Caixa 2026 CTR]]</f>
        <v xml:space="preserve">2.3.03.CSSL (SE ESTIVER NO CMV) </v>
      </c>
      <c r="C73" s="35"/>
      <c r="D73" s="62"/>
      <c r="E73" s="62"/>
      <c r="F73" s="62">
        <f>Fluxo_de_Caixa_Janeiro345[[#This Row],[ABRIL]]</f>
        <v>0</v>
      </c>
      <c r="G73" s="62">
        <f>Fluxo_de_Caixa_Janeiro3459[[#This Row],[MAIO]]</f>
        <v>0</v>
      </c>
      <c r="H73" s="62">
        <f>Fluxo_de_Caixa_Janeiro345911[[#This Row],[JUNHO]]</f>
        <v>0</v>
      </c>
      <c r="I73" s="35"/>
      <c r="J73" s="62"/>
      <c r="K73" s="62"/>
      <c r="L73" s="62"/>
      <c r="M73" s="62"/>
      <c r="N73" s="119"/>
      <c r="O73" s="219">
        <f>SUM(Fluxo_de_Caixa_Janeiro3102013[[#This Row],[Janeiro]:[Dezembro]])</f>
        <v>0</v>
      </c>
      <c r="P73" s="192">
        <f t="shared" si="5"/>
        <v>0</v>
      </c>
      <c r="Q73" s="71">
        <v>1.5827891967742709E-2</v>
      </c>
      <c r="R73" s="32" t="str">
        <f>IF(Fluxo_de_Caixa_Janeiro3102013[[#This Row],[% ACUMULADO  2º SEMEST 2026]]&lt;=Fluxo_de_Caixa_Janeiro3102013[[#This Row],[Coluna1]],"VERDADEIRO","FALSO")</f>
        <v>VERDADEIRO</v>
      </c>
    </row>
    <row r="74" spans="1:18" x14ac:dyDescent="0.25">
      <c r="B74" s="267" t="str">
        <f>Fluxo_de_Caixa_Janeiro[[#This Row],[Fluxo de Caixa 2026 CTR]]</f>
        <v>2.3.04.COFINS (SE ESTIVER NO CMV)</v>
      </c>
      <c r="C74" s="35"/>
      <c r="D74" s="62"/>
      <c r="E74" s="62"/>
      <c r="F74" s="62">
        <f>Fluxo_de_Caixa_Janeiro345[[#This Row],[ABRIL]]</f>
        <v>0</v>
      </c>
      <c r="G74" s="62">
        <f>Fluxo_de_Caixa_Janeiro3459[[#This Row],[MAIO]]</f>
        <v>0</v>
      </c>
      <c r="H74" s="62">
        <f>Fluxo_de_Caixa_Janeiro345911[[#This Row],[JUNHO]]</f>
        <v>0</v>
      </c>
      <c r="I74" s="35"/>
      <c r="J74" s="62"/>
      <c r="K74" s="62"/>
      <c r="L74" s="62"/>
      <c r="M74" s="62"/>
      <c r="N74" s="119"/>
      <c r="O74" s="219">
        <f>SUM(Fluxo_de_Caixa_Janeiro3102013[[#This Row],[Janeiro]:[Dezembro]])</f>
        <v>0</v>
      </c>
      <c r="P74" s="192">
        <f t="shared" si="5"/>
        <v>0</v>
      </c>
      <c r="Q74" s="71">
        <v>1.139505633208716E-2</v>
      </c>
      <c r="R74" s="32" t="str">
        <f>IF(Fluxo_de_Caixa_Janeiro3102013[[#This Row],[% ACUMULADO  2º SEMEST 2026]]&lt;=Fluxo_de_Caixa_Janeiro3102013[[#This Row],[Coluna1]],"VERDADEIRO","FALSO")</f>
        <v>VERDADEIRO</v>
      </c>
    </row>
    <row r="75" spans="1:18" x14ac:dyDescent="0.25">
      <c r="B75" s="267" t="str">
        <f>Fluxo_de_Caixa_Janeiro[[#This Row],[Fluxo de Caixa 2026 CTR]]</f>
        <v>2.3.05.PIS (SE ESTIVER NO CMV)</v>
      </c>
      <c r="C75" s="35"/>
      <c r="D75" s="62"/>
      <c r="E75" s="62"/>
      <c r="F75" s="62">
        <f>Fluxo_de_Caixa_Janeiro345[[#This Row],[ABRIL]]</f>
        <v>0</v>
      </c>
      <c r="G75" s="62">
        <f>Fluxo_de_Caixa_Janeiro3459[[#This Row],[MAIO]]</f>
        <v>0</v>
      </c>
      <c r="H75" s="62">
        <f>Fluxo_de_Caixa_Janeiro345911[[#This Row],[JUNHO]]</f>
        <v>0</v>
      </c>
      <c r="I75" s="35"/>
      <c r="J75" s="62"/>
      <c r="K75" s="62"/>
      <c r="L75" s="62"/>
      <c r="M75" s="62"/>
      <c r="N75" s="119"/>
      <c r="O75" s="219">
        <f>SUM(Fluxo_de_Caixa_Janeiro3102013[[#This Row],[Janeiro]:[Dezembro]])</f>
        <v>0</v>
      </c>
      <c r="P75" s="192">
        <f t="shared" si="5"/>
        <v>0</v>
      </c>
      <c r="Q75" s="71">
        <v>2.4689291774932847E-3</v>
      </c>
      <c r="R75" s="32" t="str">
        <f>IF(Fluxo_de_Caixa_Janeiro3102013[[#This Row],[% ACUMULADO  2º SEMEST 2026]]&lt;=Fluxo_de_Caixa_Janeiro3102013[[#This Row],[Coluna1]],"VERDADEIRO","FALSO")</f>
        <v>VERDADEIRO</v>
      </c>
    </row>
    <row r="76" spans="1:18" x14ac:dyDescent="0.25">
      <c r="B76" s="267" t="str">
        <f>Fluxo_de_Caixa_Janeiro[[#This Row],[Fluxo de Caixa 2026 CTR]]</f>
        <v>2.3.06.ICMS – Normal (SE ESTIVER NO CMV)</v>
      </c>
      <c r="C76" s="35"/>
      <c r="D76" s="62"/>
      <c r="E76" s="62"/>
      <c r="F76" s="62">
        <f>Fluxo_de_Caixa_Janeiro345[[#This Row],[ABRIL]]</f>
        <v>31430.89</v>
      </c>
      <c r="G76" s="62">
        <f>Fluxo_de_Caixa_Janeiro3459[[#This Row],[MAIO]]</f>
        <v>23555.599999999999</v>
      </c>
      <c r="H76" s="62">
        <f>Fluxo_de_Caixa_Janeiro345911[[#This Row],[JUNHO]]</f>
        <v>0</v>
      </c>
      <c r="I76" s="35"/>
      <c r="J76" s="62"/>
      <c r="K76" s="62"/>
      <c r="L76" s="62"/>
      <c r="M76" s="62"/>
      <c r="N76" s="119"/>
      <c r="O76" s="219">
        <f>SUM(Fluxo_de_Caixa_Janeiro3102013[[#This Row],[Janeiro]:[Dezembro]])</f>
        <v>54986.49</v>
      </c>
      <c r="P76" s="192">
        <f t="shared" si="5"/>
        <v>3.1269464870807152E-2</v>
      </c>
      <c r="Q76" s="71">
        <v>9.6179989305207134E-3</v>
      </c>
      <c r="R76" s="32" t="str">
        <f>IF(Fluxo_de_Caixa_Janeiro3102013[[#This Row],[% ACUMULADO  2º SEMEST 2026]]&lt;=Fluxo_de_Caixa_Janeiro3102013[[#This Row],[Coluna1]],"VERDADEIRO","FALSO")</f>
        <v>FALSO</v>
      </c>
    </row>
    <row r="77" spans="1:18" x14ac:dyDescent="0.25">
      <c r="B77" s="267" t="str">
        <f>Fluxo_de_Caixa_Janeiro[[#This Row],[Fluxo de Caixa 2026 CTR]]</f>
        <v>2.3.07. SUBSTITUIÇÃO TRIBUTARIA SAÍDA (TARE)</v>
      </c>
      <c r="C77" s="35"/>
      <c r="D77" s="62"/>
      <c r="E77" s="62"/>
      <c r="F77" s="62">
        <f>Fluxo_de_Caixa_Janeiro345[[#This Row],[ABRIL]]</f>
        <v>20032.789999999997</v>
      </c>
      <c r="G77" s="62">
        <f>Fluxo_de_Caixa_Janeiro3459[[#This Row],[MAIO]]</f>
        <v>9093.66</v>
      </c>
      <c r="H77" s="62">
        <f>Fluxo_de_Caixa_Janeiro345911[[#This Row],[JUNHO]]</f>
        <v>0</v>
      </c>
      <c r="I77" s="35"/>
      <c r="J77" s="62"/>
      <c r="K77" s="62"/>
      <c r="L77" s="62"/>
      <c r="M77" s="62"/>
      <c r="N77" s="119"/>
      <c r="O77" s="219">
        <f>SUM(Fluxo_de_Caixa_Janeiro3102013[[#This Row],[Janeiro]:[Dezembro]])</f>
        <v>29126.449999999997</v>
      </c>
      <c r="P77" s="192">
        <f t="shared" si="5"/>
        <v>1.6563495962123077E-2</v>
      </c>
      <c r="Q77" s="71">
        <v>1.2909721175871375E-4</v>
      </c>
      <c r="R77" s="32" t="str">
        <f>IF(Fluxo_de_Caixa_Janeiro3102013[[#This Row],[% ACUMULADO  2º SEMEST 2026]]&lt;=Fluxo_de_Caixa_Janeiro3102013[[#This Row],[Coluna1]],"VERDADEIRO","FALSO")</f>
        <v>FALSO</v>
      </c>
    </row>
    <row r="78" spans="1:18" x14ac:dyDescent="0.25">
      <c r="B78" s="268" t="str">
        <f>Fluxo_de_Caixa_Janeiro[[#This Row],[Fluxo de Caixa 2026 CTR]]</f>
        <v>2.3.08.SUBSTITUIÇÃO TRIBUTÁRIA NA ENTRADA</v>
      </c>
      <c r="C78" s="35"/>
      <c r="D78" s="62"/>
      <c r="E78" s="62"/>
      <c r="F78" s="62">
        <f>Fluxo_de_Caixa_Janeiro345[[#This Row],[ABRIL]]</f>
        <v>0</v>
      </c>
      <c r="G78" s="62">
        <f>Fluxo_de_Caixa_Janeiro3459[[#This Row],[MAIO]]</f>
        <v>0</v>
      </c>
      <c r="H78" s="62">
        <f>Fluxo_de_Caixa_Janeiro345911[[#This Row],[JUNHO]]</f>
        <v>0</v>
      </c>
      <c r="I78" s="35"/>
      <c r="J78" s="62"/>
      <c r="K78" s="62"/>
      <c r="L78" s="62"/>
      <c r="M78" s="62"/>
      <c r="N78" s="119"/>
      <c r="O78" s="219">
        <f>SUM(Fluxo_de_Caixa_Janeiro3102013[[#This Row],[Janeiro]:[Dezembro]])</f>
        <v>0</v>
      </c>
      <c r="P78" s="192">
        <f t="shared" si="5"/>
        <v>0</v>
      </c>
      <c r="Q78" s="71">
        <v>4.2589522142509205E-4</v>
      </c>
      <c r="R78" s="32" t="str">
        <f>IF(Fluxo_de_Caixa_Janeiro3102013[[#This Row],[% ACUMULADO  2º SEMEST 2026]]&lt;=Fluxo_de_Caixa_Janeiro3102013[[#This Row],[Coluna1]],"VERDADEIRO","FALSO")</f>
        <v>VERDADEIRO</v>
      </c>
    </row>
    <row r="79" spans="1:18" x14ac:dyDescent="0.25">
      <c r="B79" s="268" t="str">
        <f>Fluxo_de_Caixa_Janeiro[[#This Row],[Fluxo de Caixa 2026 CTR]]</f>
        <v>2.3.09.FUNDO DESENVOLVIMENTO ECONOMICO (TARE)</v>
      </c>
      <c r="C79" s="35"/>
      <c r="D79" s="62"/>
      <c r="E79" s="62"/>
      <c r="F79" s="62">
        <f>Fluxo_de_Caixa_Janeiro345[[#This Row],[ABRIL]]</f>
        <v>839.78</v>
      </c>
      <c r="G79" s="62">
        <f>Fluxo_de_Caixa_Janeiro3459[[#This Row],[MAIO]]</f>
        <v>377.71</v>
      </c>
      <c r="H79" s="62">
        <f>Fluxo_de_Caixa_Janeiro345911[[#This Row],[JUNHO]]</f>
        <v>0</v>
      </c>
      <c r="I79" s="35"/>
      <c r="J79" s="62"/>
      <c r="K79" s="62"/>
      <c r="L79" s="62"/>
      <c r="M79" s="62"/>
      <c r="N79" s="119"/>
      <c r="O79" s="219">
        <f>SUM(Fluxo_de_Caixa_Janeiro3102013[[#This Row],[Janeiro]:[Dezembro]])</f>
        <v>1217.49</v>
      </c>
      <c r="P79" s="192">
        <f t="shared" si="5"/>
        <v>6.9235662770180458E-4</v>
      </c>
      <c r="Q79" s="71">
        <v>2.8561062348691861E-4</v>
      </c>
      <c r="R79" s="32" t="str">
        <f>IF(Fluxo_de_Caixa_Janeiro3102013[[#This Row],[% ACUMULADO  2º SEMEST 2026]]&lt;=Fluxo_de_Caixa_Janeiro3102013[[#This Row],[Coluna1]],"VERDADEIRO","FALSO")</f>
        <v>FALSO</v>
      </c>
    </row>
    <row r="80" spans="1:18" hidden="1" x14ac:dyDescent="0.25">
      <c r="B80" s="268">
        <f>Fluxo_de_Caixa_Janeiro[[#This Row],[Fluxo de Caixa 2026 CTR]]</f>
        <v>0</v>
      </c>
      <c r="C80" s="35"/>
      <c r="D80" s="62"/>
      <c r="E80" s="62"/>
      <c r="F80" s="62">
        <f>Fluxo_de_Caixa_Janeiro345[[#This Row],[ABRIL]]</f>
        <v>0</v>
      </c>
      <c r="G80" s="62">
        <f>Fluxo_de_Caixa_Janeiro3459[[#This Row],[MAIO]]</f>
        <v>0</v>
      </c>
      <c r="H80" s="62">
        <f>Fluxo_de_Caixa_Janeiro345911[[#This Row],[JUNHO]]</f>
        <v>0</v>
      </c>
      <c r="I80" s="35"/>
      <c r="J80" s="62"/>
      <c r="K80" s="62"/>
      <c r="L80" s="62"/>
      <c r="M80" s="62"/>
      <c r="N80" s="119"/>
      <c r="O80" s="219">
        <f>SUM(Fluxo_de_Caixa_Janeiro3102013[[#This Row],[Janeiro]:[Dezembro]])</f>
        <v>0</v>
      </c>
      <c r="P80" s="192">
        <f t="shared" si="5"/>
        <v>0</v>
      </c>
      <c r="Q80" s="71">
        <v>0</v>
      </c>
      <c r="R80" s="32" t="str">
        <f>IF(Fluxo_de_Caixa_Janeiro3102013[[#This Row],[% ACUMULADO  2º SEMEST 2026]]&lt;=Fluxo_de_Caixa_Janeiro3102013[[#This Row],[Coluna1]],"VERDADEIRO","FALSO")</f>
        <v>VERDADEIRO</v>
      </c>
    </row>
    <row r="81" spans="1:18" hidden="1" x14ac:dyDescent="0.25">
      <c r="B81" s="268">
        <f>Fluxo_de_Caixa_Janeiro[[#This Row],[Fluxo de Caixa 2026 CTR]]</f>
        <v>0</v>
      </c>
      <c r="C81" s="35"/>
      <c r="D81" s="62"/>
      <c r="E81" s="62"/>
      <c r="F81" s="62">
        <f>Fluxo_de_Caixa_Janeiro345[[#This Row],[ABRIL]]</f>
        <v>0</v>
      </c>
      <c r="G81" s="62">
        <f>Fluxo_de_Caixa_Janeiro3459[[#This Row],[MAIO]]</f>
        <v>0</v>
      </c>
      <c r="H81" s="62">
        <f>Fluxo_de_Caixa_Janeiro345911[[#This Row],[JUNHO]]</f>
        <v>0</v>
      </c>
      <c r="I81" s="35"/>
      <c r="J81" s="62"/>
      <c r="K81" s="62"/>
      <c r="L81" s="62"/>
      <c r="M81" s="62"/>
      <c r="N81" s="119"/>
      <c r="O81" s="219">
        <f>SUM(Fluxo_de_Caixa_Janeiro3102013[[#This Row],[Janeiro]:[Dezembro]])</f>
        <v>0</v>
      </c>
      <c r="P81" s="192">
        <f t="shared" si="5"/>
        <v>0</v>
      </c>
      <c r="Q81" s="71">
        <v>0</v>
      </c>
      <c r="R81" s="32" t="str">
        <f>IF(Fluxo_de_Caixa_Janeiro3102013[[#This Row],[% ACUMULADO  2º SEMEST 2026]]&lt;=Fluxo_de_Caixa_Janeiro3102013[[#This Row],[Coluna1]],"VERDADEIRO","FALSO")</f>
        <v>VERDADEIRO</v>
      </c>
    </row>
    <row r="82" spans="1:18" ht="15.75" thickBot="1" x14ac:dyDescent="0.3">
      <c r="B82" s="268" t="str">
        <f>Fluxo_de_Caixa_Janeiro[[#This Row],[Fluxo de Caixa 2026 CTR]]</f>
        <v xml:space="preserve">2.3.11. Impostos Parcelado </v>
      </c>
      <c r="C82" s="35"/>
      <c r="D82" s="62"/>
      <c r="E82" s="62"/>
      <c r="F82" s="62">
        <f>Fluxo_de_Caixa_Janeiro345[[#This Row],[ABRIL]]</f>
        <v>15742.25</v>
      </c>
      <c r="G82" s="62">
        <f>Fluxo_de_Caixa_Janeiro3459[[#This Row],[MAIO]]</f>
        <v>15855.19</v>
      </c>
      <c r="H82" s="62">
        <f>Fluxo_de_Caixa_Janeiro345911[[#This Row],[JUNHO]]</f>
        <v>0</v>
      </c>
      <c r="I82" s="35"/>
      <c r="J82" s="62"/>
      <c r="K82" s="62"/>
      <c r="L82" s="62"/>
      <c r="M82" s="62"/>
      <c r="N82" s="119"/>
      <c r="O82" s="219">
        <f>SUM(Fluxo_de_Caixa_Janeiro3102013[[#This Row],[Janeiro]:[Dezembro]])</f>
        <v>31597.440000000002</v>
      </c>
      <c r="P82" s="192">
        <f t="shared" si="5"/>
        <v>1.796868721912304E-2</v>
      </c>
      <c r="Q82" s="71">
        <v>1.2484128440102917E-2</v>
      </c>
      <c r="R82" s="32" t="str">
        <f>IF(Fluxo_de_Caixa_Janeiro3102013[[#This Row],[% ACUMULADO  2º SEMEST 2026]]&lt;=Fluxo_de_Caixa_Janeiro3102013[[#This Row],[Coluna1]],"VERDADEIRO","FALSO")</f>
        <v>FALSO</v>
      </c>
    </row>
    <row r="83" spans="1:18" hidden="1" x14ac:dyDescent="0.25">
      <c r="B83" s="268">
        <f>Fluxo_de_Caixa_Janeiro[[#This Row],[Fluxo de Caixa 2026 CTR]]</f>
        <v>0</v>
      </c>
      <c r="C83" s="35"/>
      <c r="D83" s="62"/>
      <c r="E83" s="62"/>
      <c r="F83" s="62">
        <f>Fluxo_de_Caixa_Janeiro345[[#This Row],[ABRIL]]</f>
        <v>0</v>
      </c>
      <c r="G83" s="62">
        <f>Fluxo_de_Caixa_Janeiro3459[[#This Row],[MAIO]]</f>
        <v>0</v>
      </c>
      <c r="H83" s="62">
        <f>Fluxo_de_Caixa_Janeiro345911[[#This Row],[JUNHO]]</f>
        <v>0</v>
      </c>
      <c r="I83" s="35"/>
      <c r="J83" s="62"/>
      <c r="K83" s="62"/>
      <c r="L83" s="62"/>
      <c r="M83" s="62"/>
      <c r="N83" s="119"/>
      <c r="O83" s="219">
        <f>SUM(Fluxo_de_Caixa_Janeiro3102013[[#This Row],[Janeiro]:[Dezembro]])</f>
        <v>0</v>
      </c>
      <c r="P83" s="192">
        <f t="shared" si="5"/>
        <v>0</v>
      </c>
      <c r="Q83" s="71">
        <v>0</v>
      </c>
      <c r="R83" s="32" t="str">
        <f>IF(Fluxo_de_Caixa_Janeiro3102013[[#This Row],[% ACUMULADO  2º SEMEST 2026]]&lt;=Fluxo_de_Caixa_Janeiro3102013[[#This Row],[Coluna1]],"VERDADEIRO","FALSO")</f>
        <v>VERDADEIRO</v>
      </c>
    </row>
    <row r="84" spans="1:18" ht="15.75" hidden="1" thickBot="1" x14ac:dyDescent="0.3">
      <c r="B84" s="268">
        <f>Fluxo_de_Caixa_Janeiro[[#This Row],[Fluxo de Caixa 2026 CTR]]</f>
        <v>0</v>
      </c>
      <c r="C84" s="36"/>
      <c r="D84" s="82"/>
      <c r="E84" s="82"/>
      <c r="F84" s="82">
        <f>Fluxo_de_Caixa_Janeiro345[[#This Row],[ABRIL]]</f>
        <v>0</v>
      </c>
      <c r="G84" s="82">
        <f>Fluxo_de_Caixa_Janeiro3459[[#This Row],[MAIO]]</f>
        <v>0</v>
      </c>
      <c r="H84" s="82">
        <f>Fluxo_de_Caixa_Janeiro345911[[#This Row],[JUNHO]]</f>
        <v>0</v>
      </c>
      <c r="I84" s="36"/>
      <c r="J84" s="82"/>
      <c r="K84" s="82"/>
      <c r="L84" s="82"/>
      <c r="M84" s="82"/>
      <c r="N84" s="120"/>
      <c r="O84" s="220">
        <f>SUM(Fluxo_de_Caixa_Janeiro3102013[[#This Row],[Janeiro]:[Dezembro]])</f>
        <v>0</v>
      </c>
      <c r="P84" s="192">
        <f t="shared" si="5"/>
        <v>0</v>
      </c>
      <c r="Q84" s="89">
        <v>0</v>
      </c>
      <c r="R84" s="32" t="str">
        <f>IF(Fluxo_de_Caixa_Janeiro3102013[[#This Row],[% ACUMULADO  2º SEMEST 2026]]&lt;=Fluxo_de_Caixa_Janeiro3102013[[#This Row],[Coluna1]],"VERDADEIRO","FALSO")</f>
        <v>VERDADEIRO</v>
      </c>
    </row>
    <row r="85" spans="1:18" ht="24" thickBot="1" x14ac:dyDescent="0.4">
      <c r="B85" s="54" t="str">
        <f>Fluxo_de_Caixa_Janeiro[[#This Row],[Fluxo de Caixa 2026 CTR]]</f>
        <v xml:space="preserve">Total dos Custos </v>
      </c>
      <c r="C85" s="43"/>
      <c r="D85" s="91"/>
      <c r="E85" s="91"/>
      <c r="F85" s="91">
        <f>Fluxo_de_Caixa_Janeiro345[[#This Row],[ABRIL]]</f>
        <v>-444268.68</v>
      </c>
      <c r="G85" s="91">
        <f>Fluxo_de_Caixa_Janeiro3459[[#This Row],[MAIO]]</f>
        <v>-259547.41</v>
      </c>
      <c r="H85" s="91">
        <f>Fluxo_de_Caixa_Janeiro345911[[#This Row],[JUNHO]]</f>
        <v>0</v>
      </c>
      <c r="I85" s="43"/>
      <c r="J85" s="91"/>
      <c r="K85" s="91"/>
      <c r="L85" s="91"/>
      <c r="M85" s="91"/>
      <c r="N85" s="127"/>
      <c r="O85" s="217">
        <f>SUM(Fluxo_de_Caixa_Janeiro3102013[[#This Row],[Janeiro]:[Dezembro]])</f>
        <v>-703816.09</v>
      </c>
      <c r="P85" s="199">
        <f>IFERROR(O85/O27,"0,00%")</f>
        <v>-0.4002429051529538</v>
      </c>
      <c r="Q85" s="74">
        <v>-0.76909406334133967</v>
      </c>
      <c r="R85" s="32" t="str">
        <f>IF(Fluxo_de_Caixa_Janeiro3102013[[#This Row],[% ACUMULADO  2º SEMEST 2026]]&gt;=Fluxo_de_Caixa_Janeiro3102013[[#This Row],[Coluna1]],"VERDADEIRO","FALSO")</f>
        <v>VERDADEIRO</v>
      </c>
    </row>
    <row r="86" spans="1:18" ht="24" thickBot="1" x14ac:dyDescent="0.4">
      <c r="B86" s="273" t="str">
        <f>Fluxo_de_Caixa_Janeiro[[#This Row],[Fluxo de Caixa 2026 CTR]]</f>
        <v>Receita Operacional Bruta</v>
      </c>
      <c r="C86" s="200"/>
      <c r="D86" s="201"/>
      <c r="E86" s="201"/>
      <c r="F86" s="201">
        <f>Fluxo_de_Caixa_Janeiro345[[#This Row],[ABRIL]]</f>
        <v>564978.32000000007</v>
      </c>
      <c r="G86" s="201">
        <f>Fluxo_de_Caixa_Janeiro3459[[#This Row],[MAIO]]</f>
        <v>489677.95999999996</v>
      </c>
      <c r="H86" s="201">
        <f>Fluxo_de_Caixa_Janeiro345911[[#This Row],[JUNHO]]</f>
        <v>0</v>
      </c>
      <c r="I86" s="200"/>
      <c r="J86" s="201"/>
      <c r="K86" s="201"/>
      <c r="L86" s="201"/>
      <c r="M86" s="201"/>
      <c r="N86" s="202"/>
      <c r="O86" s="289">
        <f>SUM(Fluxo_de_Caixa_Janeiro3102013[[#This Row],[Janeiro]:[Dezembro]])</f>
        <v>1054656.28</v>
      </c>
      <c r="P86" s="203">
        <f>IFERROR(O86/O27,"0,00%")</f>
        <v>0.59975709484704609</v>
      </c>
      <c r="Q86" s="92">
        <v>0.23090593665866035</v>
      </c>
      <c r="R86" s="32" t="str">
        <f>IF(Fluxo_de_Caixa_Janeiro3102013[[#This Row],[% ACUMULADO  2º SEMEST 2026]]&gt;=Fluxo_de_Caixa_Janeiro3102013[[#This Row],[Coluna1]],"VERDADEIRO","FALSO")</f>
        <v>VERDADEIRO</v>
      </c>
    </row>
    <row r="87" spans="1:18" ht="24" thickBot="1" x14ac:dyDescent="0.4">
      <c r="B87" s="274" t="str">
        <f>Fluxo_de_Caixa_Janeiro[[#This Row],[Fluxo de Caixa 2026 CTR]]</f>
        <v xml:space="preserve">300. Despesas Operac. Fixas e Variáveis </v>
      </c>
      <c r="C87" s="204"/>
      <c r="D87" s="249"/>
      <c r="E87" s="249"/>
      <c r="F87" s="249">
        <f>Fluxo_de_Caixa_Janeiro345[[#This Row],[ABRIL]]</f>
        <v>0</v>
      </c>
      <c r="G87" s="249">
        <f>Fluxo_de_Caixa_Janeiro3459[[#This Row],[MAIO]]</f>
        <v>0</v>
      </c>
      <c r="H87" s="403">
        <f>Fluxo_de_Caixa_Janeiro345911[[#This Row],[JUNHO]]</f>
        <v>0</v>
      </c>
      <c r="I87" s="249"/>
      <c r="J87" s="249"/>
      <c r="K87" s="249"/>
      <c r="L87" s="249"/>
      <c r="M87" s="249"/>
      <c r="N87" s="249"/>
      <c r="O87" s="221"/>
      <c r="P87" s="205"/>
      <c r="Q87" s="23"/>
      <c r="R87" s="32" t="str">
        <f>IF(Fluxo_de_Caixa_Janeiro3102013[[#This Row],[% ACUMULADO  2º SEMEST 2026]]&lt;=Fluxo_de_Caixa_Janeiro3102013[[#This Row],[Coluna1]],"VERDADEIRO","FALSO")</f>
        <v>VERDADEIRO</v>
      </c>
    </row>
    <row r="88" spans="1:18" ht="19.5" thickBot="1" x14ac:dyDescent="0.35">
      <c r="A88" s="14" t="s">
        <v>2</v>
      </c>
      <c r="B88" s="275" t="str">
        <f>Fluxo_de_Caixa_Janeiro[[#This Row],[Fluxo de Caixa 2026 CTR]]</f>
        <v xml:space="preserve">3.1. DESPESA COM VENDAS   </v>
      </c>
      <c r="C88" s="157"/>
      <c r="D88" s="94"/>
      <c r="E88" s="94"/>
      <c r="F88" s="94">
        <f>Fluxo_de_Caixa_Janeiro345[[#This Row],[ABRIL]]</f>
        <v>-41738.280000000006</v>
      </c>
      <c r="G88" s="94">
        <f>Fluxo_de_Caixa_Janeiro3459[[#This Row],[MAIO]]</f>
        <v>-33338.720000000001</v>
      </c>
      <c r="H88" s="94">
        <f>Fluxo_de_Caixa_Janeiro345911[[#This Row],[JUNHO]]</f>
        <v>0</v>
      </c>
      <c r="I88" s="157"/>
      <c r="J88" s="94"/>
      <c r="K88" s="94"/>
      <c r="L88" s="94"/>
      <c r="M88" s="94"/>
      <c r="N88" s="128"/>
      <c r="O88" s="222">
        <f>SUM(Fluxo_de_Caixa_Janeiro3102013[[#This Row],[Janeiro]:[Dezembro]])</f>
        <v>-75077</v>
      </c>
      <c r="P88" s="143">
        <f>-IFERROR(O88/$O$27,"0,00")</f>
        <v>4.2694443928055575E-2</v>
      </c>
      <c r="Q88" s="95">
        <v>1.2861933025239164E-2</v>
      </c>
      <c r="R88" s="32" t="str">
        <f>IF(Fluxo_de_Caixa_Janeiro3102013[[#This Row],[% ACUMULADO  2º SEMEST 2026]]&lt;=Fluxo_de_Caixa_Janeiro3102013[[#This Row],[Coluna1]],"VERDADEIRO","FALSO")</f>
        <v>FALSO</v>
      </c>
    </row>
    <row r="89" spans="1:18" x14ac:dyDescent="0.25">
      <c r="B89" s="169" t="str">
        <f>Fluxo_de_Caixa_Janeiro[[#This Row],[Fluxo de Caixa 2026 CTR]]</f>
        <v xml:space="preserve">3.1.01. Marketing e Propaganda </v>
      </c>
      <c r="C89" s="41"/>
      <c r="D89" s="81"/>
      <c r="E89" s="81"/>
      <c r="F89" s="81">
        <f>Fluxo_de_Caixa_Janeiro345[[#This Row],[ABRIL]]</f>
        <v>2715</v>
      </c>
      <c r="G89" s="81">
        <f>Fluxo_de_Caixa_Janeiro3459[[#This Row],[MAIO]]</f>
        <v>3195</v>
      </c>
      <c r="H89" s="81">
        <f>Fluxo_de_Caixa_Janeiro345911[[#This Row],[JUNHO]]</f>
        <v>0</v>
      </c>
      <c r="I89" s="41"/>
      <c r="J89" s="81"/>
      <c r="K89" s="81"/>
      <c r="L89" s="81"/>
      <c r="M89" s="81"/>
      <c r="N89" s="118"/>
      <c r="O89" s="223">
        <f>SUM(Fluxo_de_Caixa_Janeiro3102013[[#This Row],[Janeiro]:[Dezembro]])</f>
        <v>5910</v>
      </c>
      <c r="P89" s="193">
        <f t="shared" ref="P89:P99" si="6">IFERROR(O89/$O$27,"0,00%")</f>
        <v>3.3608716865992042E-3</v>
      </c>
      <c r="Q89" s="93">
        <v>2.6192507994925061E-3</v>
      </c>
      <c r="R89" s="32" t="str">
        <f>IF(Fluxo_de_Caixa_Janeiro3102013[[#This Row],[% ACUMULADO  2º SEMEST 2026]]&lt;=Fluxo_de_Caixa_Janeiro3102013[[#This Row],[Coluna1]],"VERDADEIRO","FALSO")</f>
        <v>FALSO</v>
      </c>
    </row>
    <row r="90" spans="1:18" x14ac:dyDescent="0.25">
      <c r="B90" s="55" t="str">
        <f>Fluxo_de_Caixa_Janeiro[[#This Row],[Fluxo de Caixa 2026 CTR]]</f>
        <v>3.1.02. Promoções e Eventos(Brindes/Café da Manhã p clientes/etc)</v>
      </c>
      <c r="C90" s="35"/>
      <c r="D90" s="62"/>
      <c r="E90" s="62"/>
      <c r="F90" s="62">
        <f>Fluxo_de_Caixa_Janeiro345[[#This Row],[ABRIL]]</f>
        <v>4614.57</v>
      </c>
      <c r="G90" s="62">
        <f>Fluxo_de_Caixa_Janeiro3459[[#This Row],[MAIO]]</f>
        <v>12132.12</v>
      </c>
      <c r="H90" s="62">
        <f>Fluxo_de_Caixa_Janeiro345911[[#This Row],[JUNHO]]</f>
        <v>0</v>
      </c>
      <c r="I90" s="35"/>
      <c r="J90" s="62"/>
      <c r="K90" s="62"/>
      <c r="L90" s="62"/>
      <c r="M90" s="62"/>
      <c r="N90" s="119"/>
      <c r="O90" s="224">
        <f>SUM(Fluxo_de_Caixa_Janeiro3102013[[#This Row],[Janeiro]:[Dezembro]])</f>
        <v>16746.690000000002</v>
      </c>
      <c r="P90" s="194">
        <f t="shared" si="6"/>
        <v>9.5234308401445072E-3</v>
      </c>
      <c r="Q90" s="75">
        <v>9.1196217294036265E-4</v>
      </c>
      <c r="R90" s="32" t="str">
        <f>IF(Fluxo_de_Caixa_Janeiro3102013[[#This Row],[% ACUMULADO  2º SEMEST 2026]]&lt;=Fluxo_de_Caixa_Janeiro3102013[[#This Row],[Coluna1]],"VERDADEIRO","FALSO")</f>
        <v>FALSO</v>
      </c>
    </row>
    <row r="91" spans="1:18" x14ac:dyDescent="0.25">
      <c r="B91" s="55" t="str">
        <f>Fluxo_de_Caixa_Janeiro[[#This Row],[Fluxo de Caixa 2026 CTR]]</f>
        <v>3.1.03. Sacolas e Embalagens</v>
      </c>
      <c r="C91" s="35"/>
      <c r="D91" s="62"/>
      <c r="E91" s="62"/>
      <c r="F91" s="62">
        <f>Fluxo_de_Caixa_Janeiro345[[#This Row],[ABRIL]]</f>
        <v>412.82</v>
      </c>
      <c r="G91" s="62">
        <f>Fluxo_de_Caixa_Janeiro3459[[#This Row],[MAIO]]</f>
        <v>296.10000000000002</v>
      </c>
      <c r="H91" s="62">
        <f>Fluxo_de_Caixa_Janeiro345911[[#This Row],[JUNHO]]</f>
        <v>0</v>
      </c>
      <c r="I91" s="35"/>
      <c r="J91" s="62"/>
      <c r="K91" s="62"/>
      <c r="L91" s="62"/>
      <c r="M91" s="62"/>
      <c r="N91" s="119"/>
      <c r="O91" s="224">
        <f>SUM(Fluxo_de_Caixa_Janeiro3102013[[#This Row],[Janeiro]:[Dezembro]])</f>
        <v>708.92000000000007</v>
      </c>
      <c r="P91" s="194">
        <f t="shared" si="6"/>
        <v>4.0314537327646496E-4</v>
      </c>
      <c r="Q91" s="75">
        <v>1.0999478423065641E-4</v>
      </c>
      <c r="R91" s="32" t="str">
        <f>IF(Fluxo_de_Caixa_Janeiro3102013[[#This Row],[% ACUMULADO  2º SEMEST 2026]]&lt;=Fluxo_de_Caixa_Janeiro3102013[[#This Row],[Coluna1]],"VERDADEIRO","FALSO")</f>
        <v>FALSO</v>
      </c>
    </row>
    <row r="92" spans="1:18" x14ac:dyDescent="0.25">
      <c r="B92" s="55" t="str">
        <f>Fluxo_de_Caixa_Janeiro[[#This Row],[Fluxo de Caixa 2026 CTR]]</f>
        <v>3.1.04.DIARIAS E DESPESAS COM VENDEDOR (passagem ônibus, hotel. Etc)</v>
      </c>
      <c r="C92" s="35"/>
      <c r="D92" s="62"/>
      <c r="E92" s="62"/>
      <c r="F92" s="62">
        <f>Fluxo_de_Caixa_Janeiro345[[#This Row],[ABRIL]]</f>
        <v>0</v>
      </c>
      <c r="G92" s="62">
        <f>Fluxo_de_Caixa_Janeiro3459[[#This Row],[MAIO]]</f>
        <v>0</v>
      </c>
      <c r="H92" s="62">
        <f>Fluxo_de_Caixa_Janeiro345911[[#This Row],[JUNHO]]</f>
        <v>0</v>
      </c>
      <c r="I92" s="35"/>
      <c r="J92" s="62"/>
      <c r="K92" s="62"/>
      <c r="L92" s="62"/>
      <c r="M92" s="62"/>
      <c r="N92" s="119"/>
      <c r="O92" s="224">
        <f>SUM(Fluxo_de_Caixa_Janeiro3102013[[#This Row],[Janeiro]:[Dezembro]])</f>
        <v>0</v>
      </c>
      <c r="P92" s="194">
        <f t="shared" si="6"/>
        <v>0</v>
      </c>
      <c r="Q92" s="75">
        <v>4.4585010853093699E-3</v>
      </c>
      <c r="R92" s="32" t="str">
        <f>IF(Fluxo_de_Caixa_Janeiro3102013[[#This Row],[% ACUMULADO  2º SEMEST 2026]]&lt;=Fluxo_de_Caixa_Janeiro3102013[[#This Row],[Coluna1]],"VERDADEIRO","FALSO")</f>
        <v>VERDADEIRO</v>
      </c>
    </row>
    <row r="93" spans="1:18" x14ac:dyDescent="0.25">
      <c r="B93" s="55" t="str">
        <f>Fluxo_de_Caixa_Janeiro[[#This Row],[Fluxo de Caixa 2026 CTR]]</f>
        <v>3.1.05. Comissão Representente Comercial</v>
      </c>
      <c r="C93" s="35"/>
      <c r="D93" s="62"/>
      <c r="E93" s="62"/>
      <c r="F93" s="62">
        <f>Fluxo_de_Caixa_Janeiro345[[#This Row],[ABRIL]]</f>
        <v>22420.65</v>
      </c>
      <c r="G93" s="62">
        <f>Fluxo_de_Caixa_Janeiro3459[[#This Row],[MAIO]]</f>
        <v>12104.98</v>
      </c>
      <c r="H93" s="62">
        <f>Fluxo_de_Caixa_Janeiro345911[[#This Row],[JUNHO]]</f>
        <v>0</v>
      </c>
      <c r="I93" s="35"/>
      <c r="J93" s="62"/>
      <c r="K93" s="62"/>
      <c r="L93" s="62"/>
      <c r="M93" s="62"/>
      <c r="N93" s="119"/>
      <c r="O93" s="224">
        <f>SUM(Fluxo_de_Caixa_Janeiro3102013[[#This Row],[Janeiro]:[Dezembro]])</f>
        <v>34525.630000000005</v>
      </c>
      <c r="P93" s="194">
        <f t="shared" si="6"/>
        <v>1.9633876874619306E-2</v>
      </c>
      <c r="Q93" s="75">
        <v>1.3291036427870984E-3</v>
      </c>
      <c r="R93" s="32" t="str">
        <f>IF(Fluxo_de_Caixa_Janeiro3102013[[#This Row],[% ACUMULADO  2º SEMEST 2026]]&lt;=Fluxo_de_Caixa_Janeiro3102013[[#This Row],[Coluna1]],"VERDADEIRO","FALSO")</f>
        <v>FALSO</v>
      </c>
    </row>
    <row r="94" spans="1:18" x14ac:dyDescent="0.25">
      <c r="B94" s="55" t="str">
        <f>Fluxo_de_Caixa_Janeiro[[#This Row],[Fluxo de Caixa 2026 CTR]]</f>
        <v>3.1.06. Frete com entrega de vendas</v>
      </c>
      <c r="C94" s="35"/>
      <c r="D94" s="62"/>
      <c r="E94" s="62"/>
      <c r="F94" s="62">
        <f>Fluxo_de_Caixa_Janeiro345[[#This Row],[ABRIL]]</f>
        <v>4269.79</v>
      </c>
      <c r="G94" s="62">
        <f>Fluxo_de_Caixa_Janeiro3459[[#This Row],[MAIO]]</f>
        <v>1680</v>
      </c>
      <c r="H94" s="62">
        <f>Fluxo_de_Caixa_Janeiro345911[[#This Row],[JUNHO]]</f>
        <v>0</v>
      </c>
      <c r="I94" s="35"/>
      <c r="J94" s="62"/>
      <c r="K94" s="62"/>
      <c r="L94" s="62"/>
      <c r="M94" s="62"/>
      <c r="N94" s="119"/>
      <c r="O94" s="224">
        <f>SUM(Fluxo_de_Caixa_Janeiro3102013[[#This Row],[Janeiro]:[Dezembro]])</f>
        <v>5949.79</v>
      </c>
      <c r="P94" s="194">
        <f t="shared" si="6"/>
        <v>3.3834992812539896E-3</v>
      </c>
      <c r="Q94" s="75">
        <v>2.5555454869589174E-3</v>
      </c>
      <c r="R94" s="32" t="str">
        <f>IF(Fluxo_de_Caixa_Janeiro3102013[[#This Row],[% ACUMULADO  2º SEMEST 2026]]&lt;=Fluxo_de_Caixa_Janeiro3102013[[#This Row],[Coluna1]],"VERDADEIRO","FALSO")</f>
        <v>FALSO</v>
      </c>
    </row>
    <row r="95" spans="1:18" x14ac:dyDescent="0.25">
      <c r="B95" s="55" t="str">
        <f>Fluxo_de_Caixa_Janeiro[[#This Row],[Fluxo de Caixa 2026 CTR]]</f>
        <v>3.1.07. TAXAS C/ CART CRÉD/DÉBIT</v>
      </c>
      <c r="C95" s="35"/>
      <c r="D95" s="62"/>
      <c r="E95" s="62"/>
      <c r="F95" s="62">
        <f>Fluxo_de_Caixa_Janeiro345[[#This Row],[ABRIL]]</f>
        <v>7272.91</v>
      </c>
      <c r="G95" s="62">
        <f>Fluxo_de_Caixa_Janeiro3459[[#This Row],[MAIO]]</f>
        <v>3846.24</v>
      </c>
      <c r="H95" s="62">
        <f>Fluxo_de_Caixa_Janeiro345911[[#This Row],[JUNHO]]</f>
        <v>0</v>
      </c>
      <c r="I95" s="35"/>
      <c r="J95" s="62"/>
      <c r="K95" s="62"/>
      <c r="L95" s="62"/>
      <c r="M95" s="62"/>
      <c r="N95" s="119"/>
      <c r="O95" s="224">
        <f>SUM(Fluxo_de_Caixa_Janeiro3102013[[#This Row],[Janeiro]:[Dezembro]])</f>
        <v>11119.15</v>
      </c>
      <c r="P95" s="194">
        <f t="shared" si="6"/>
        <v>6.3231872104990757E-3</v>
      </c>
      <c r="Q95" s="75">
        <v>8.7757505352025389E-4</v>
      </c>
      <c r="R95" s="32" t="str">
        <f>IF(Fluxo_de_Caixa_Janeiro3102013[[#This Row],[% ACUMULADO  2º SEMEST 2026]]&lt;=Fluxo_de_Caixa_Janeiro3102013[[#This Row],[Coluna1]],"VERDADEIRO","FALSO")</f>
        <v>FALSO</v>
      </c>
    </row>
    <row r="96" spans="1:18" x14ac:dyDescent="0.25">
      <c r="B96" s="55" t="str">
        <f>Fluxo_de_Caixa_Janeiro[[#This Row],[Fluxo de Caixa 2026 CTR]]</f>
        <v>3.1.08. Serviço Motoboy Entrega Vendas</v>
      </c>
      <c r="C96" s="35"/>
      <c r="D96" s="62"/>
      <c r="E96" s="62"/>
      <c r="F96" s="62">
        <f>Fluxo_de_Caixa_Janeiro345[[#This Row],[ABRIL]]</f>
        <v>0</v>
      </c>
      <c r="G96" s="62">
        <f>Fluxo_de_Caixa_Janeiro3459[[#This Row],[MAIO]]</f>
        <v>0</v>
      </c>
      <c r="H96" s="62">
        <f>Fluxo_de_Caixa_Janeiro345911[[#This Row],[JUNHO]]</f>
        <v>0</v>
      </c>
      <c r="I96" s="35"/>
      <c r="J96" s="62"/>
      <c r="K96" s="62"/>
      <c r="L96" s="62"/>
      <c r="M96" s="62"/>
      <c r="N96" s="119"/>
      <c r="O96" s="224">
        <f>SUM(Fluxo_de_Caixa_Janeiro3102013[[#This Row],[Janeiro]:[Dezembro]])</f>
        <v>0</v>
      </c>
      <c r="P96" s="194">
        <f t="shared" si="6"/>
        <v>0</v>
      </c>
      <c r="Q96" s="75">
        <v>0</v>
      </c>
      <c r="R96" s="32" t="str">
        <f>IF(Fluxo_de_Caixa_Janeiro3102013[[#This Row],[% ACUMULADO  2º SEMEST 2026]]&lt;=Fluxo_de_Caixa_Janeiro3102013[[#This Row],[Coluna1]],"VERDADEIRO","FALSO")</f>
        <v>VERDADEIRO</v>
      </c>
    </row>
    <row r="97" spans="1:20" ht="15.75" thickBot="1" x14ac:dyDescent="0.3">
      <c r="B97" s="55" t="str">
        <f>Fluxo_de_Caixa_Janeiro[[#This Row],[Fluxo de Caixa 2026 CTR]]</f>
        <v>3.1.09. PGTO DISTRATO REPRES COMERCIAL</v>
      </c>
      <c r="C97" s="35"/>
      <c r="D97" s="62"/>
      <c r="E97" s="62"/>
      <c r="F97" s="62">
        <f>Fluxo_de_Caixa_Janeiro345[[#This Row],[ABRIL]]</f>
        <v>0</v>
      </c>
      <c r="G97" s="62">
        <f>Fluxo_de_Caixa_Janeiro3459[[#This Row],[MAIO]]</f>
        <v>0</v>
      </c>
      <c r="H97" s="62">
        <f>Fluxo_de_Caixa_Janeiro345911[[#This Row],[JUNHO]]</f>
        <v>0</v>
      </c>
      <c r="I97" s="35"/>
      <c r="J97" s="62"/>
      <c r="K97" s="62"/>
      <c r="L97" s="62"/>
      <c r="M97" s="62"/>
      <c r="N97" s="119"/>
      <c r="O97" s="224">
        <f>SUM(Fluxo_de_Caixa_Janeiro3102013[[#This Row],[Janeiro]:[Dezembro]])</f>
        <v>0</v>
      </c>
      <c r="P97" s="194">
        <f t="shared" si="6"/>
        <v>0</v>
      </c>
      <c r="Q97" s="75">
        <v>0</v>
      </c>
      <c r="R97" s="32" t="str">
        <f>IF(Fluxo_de_Caixa_Janeiro3102013[[#This Row],[% ACUMULADO  2º SEMEST 2026]]&lt;=Fluxo_de_Caixa_Janeiro3102013[[#This Row],[Coluna1]],"VERDADEIRO","FALSO")</f>
        <v>VERDADEIRO</v>
      </c>
    </row>
    <row r="98" spans="1:20" hidden="1" x14ac:dyDescent="0.25">
      <c r="B98" s="55" t="str">
        <f>Fluxo_de_Caixa_Janeiro[[#This Row],[Fluxo de Caixa 2026 CTR]]</f>
        <v>3.1.10. TARIFA PIX RECEBIDO</v>
      </c>
      <c r="C98" s="35"/>
      <c r="D98" s="62"/>
      <c r="E98" s="62"/>
      <c r="F98" s="62">
        <f>Fluxo_de_Caixa_Janeiro345[[#This Row],[ABRIL]]</f>
        <v>32.54</v>
      </c>
      <c r="G98" s="62">
        <f>Fluxo_de_Caixa_Janeiro3459[[#This Row],[MAIO]]</f>
        <v>84.28</v>
      </c>
      <c r="H98" s="62">
        <f>Fluxo_de_Caixa_Janeiro345911[[#This Row],[JUNHO]]</f>
        <v>0</v>
      </c>
      <c r="I98" s="35"/>
      <c r="J98" s="62"/>
      <c r="K98" s="62"/>
      <c r="L98" s="62"/>
      <c r="M98" s="62"/>
      <c r="N98" s="119"/>
      <c r="O98" s="224">
        <f>SUM(Fluxo_de_Caixa_Janeiro3102013[[#This Row],[Janeiro]:[Dezembro]])</f>
        <v>116.82</v>
      </c>
      <c r="P98" s="194">
        <f t="shared" si="6"/>
        <v>6.6432661663031985E-5</v>
      </c>
      <c r="Q98" s="75">
        <v>0</v>
      </c>
      <c r="R98" s="32" t="str">
        <f>IF(Fluxo_de_Caixa_Janeiro3102013[[#This Row],[% ACUMULADO  2º SEMEST 2026]]&lt;=Fluxo_de_Caixa_Janeiro3102013[[#This Row],[Coluna1]],"VERDADEIRO","FALSO")</f>
        <v>FALSO</v>
      </c>
    </row>
    <row r="99" spans="1:20" ht="15.75" hidden="1" thickBot="1" x14ac:dyDescent="0.3">
      <c r="B99" s="276">
        <f>Fluxo_de_Caixa_Janeiro[[#This Row],[Fluxo de Caixa 2026 CTR]]</f>
        <v>0</v>
      </c>
      <c r="C99" s="36"/>
      <c r="D99" s="82"/>
      <c r="E99" s="82"/>
      <c r="F99" s="82">
        <f>Fluxo_de_Caixa_Janeiro345[[#This Row],[ABRIL]]</f>
        <v>0</v>
      </c>
      <c r="G99" s="82">
        <f>Fluxo_de_Caixa_Janeiro3459[[#This Row],[MAIO]]</f>
        <v>0</v>
      </c>
      <c r="H99" s="82">
        <f>Fluxo_de_Caixa_Janeiro345911[[#This Row],[JUNHO]]</f>
        <v>0</v>
      </c>
      <c r="I99" s="36"/>
      <c r="J99" s="82"/>
      <c r="K99" s="82"/>
      <c r="L99" s="82"/>
      <c r="M99" s="82"/>
      <c r="N99" s="120"/>
      <c r="O99" s="225">
        <f>SUM(Fluxo_de_Caixa_Janeiro3102013[[#This Row],[Janeiro]:[Dezembro]])</f>
        <v>0</v>
      </c>
      <c r="P99" s="195">
        <f t="shared" si="6"/>
        <v>0</v>
      </c>
      <c r="Q99" s="96">
        <v>0</v>
      </c>
      <c r="R99" s="32" t="str">
        <f>IF(Fluxo_de_Caixa_Janeiro3102013[[#This Row],[% ACUMULADO  2º SEMEST 2026]]&lt;=Fluxo_de_Caixa_Janeiro3102013[[#This Row],[Coluna1]],"VERDADEIRO","FALSO")</f>
        <v>VERDADEIRO</v>
      </c>
    </row>
    <row r="100" spans="1:20" ht="19.5" thickBot="1" x14ac:dyDescent="0.35">
      <c r="A100" s="15" t="s">
        <v>3</v>
      </c>
      <c r="B100" s="168" t="str">
        <f>Fluxo_de_Caixa_Janeiro[[#This Row],[Fluxo de Caixa 2026 CTR]]</f>
        <v>3.2. DESPESA COM FUNCIONÁRIO</v>
      </c>
      <c r="C100" s="158"/>
      <c r="D100" s="97"/>
      <c r="E100" s="97"/>
      <c r="F100" s="97">
        <f>Fluxo_de_Caixa_Janeiro345[[#This Row],[ABRIL]]</f>
        <v>-84685.599999999991</v>
      </c>
      <c r="G100" s="97">
        <f>Fluxo_de_Caixa_Janeiro3459[[#This Row],[MAIO]]</f>
        <v>-71371.38</v>
      </c>
      <c r="H100" s="97">
        <f>Fluxo_de_Caixa_Janeiro345911[[#This Row],[JUNHO]]</f>
        <v>0</v>
      </c>
      <c r="I100" s="158"/>
      <c r="J100" s="97"/>
      <c r="K100" s="97"/>
      <c r="L100" s="97"/>
      <c r="M100" s="97"/>
      <c r="N100" s="129"/>
      <c r="O100" s="226">
        <f>SUM(Fluxo_de_Caixa_Janeiro3102013[[#This Row],[Janeiro]:[Dezembro]])</f>
        <v>-156056.97999999998</v>
      </c>
      <c r="P100" s="144">
        <f>-IFERROR(O100/$O$27,"0,00")</f>
        <v>8.8745767441316112E-2</v>
      </c>
      <c r="Q100" s="98">
        <v>7.6736894181039433E-2</v>
      </c>
      <c r="R100" s="32" t="str">
        <f>IF(Fluxo_de_Caixa_Janeiro3102013[[#This Row],[% ACUMULADO  2º SEMEST 2026]]&lt;=Fluxo_de_Caixa_Janeiro3102013[[#This Row],[Coluna1]],"VERDADEIRO","FALSO")</f>
        <v>FALSO</v>
      </c>
    </row>
    <row r="101" spans="1:20" x14ac:dyDescent="0.25">
      <c r="B101" s="169" t="str">
        <f>Fluxo_de_Caixa_Janeiro[[#This Row],[Fluxo de Caixa 2026 CTR]]</f>
        <v>3.2.01. Salário (CLT)</v>
      </c>
      <c r="C101" s="41"/>
      <c r="D101" s="81"/>
      <c r="E101" s="81"/>
      <c r="F101" s="81">
        <f>Fluxo_de_Caixa_Janeiro345[[#This Row],[ABRIL]]</f>
        <v>35339.78</v>
      </c>
      <c r="G101" s="81">
        <f>Fluxo_de_Caixa_Janeiro3459[[#This Row],[MAIO]]</f>
        <v>35053.78</v>
      </c>
      <c r="H101" s="81">
        <f>Fluxo_de_Caixa_Janeiro345911[[#This Row],[JUNHO]]</f>
        <v>0</v>
      </c>
      <c r="I101" s="41"/>
      <c r="J101" s="81"/>
      <c r="K101" s="81"/>
      <c r="L101" s="81"/>
      <c r="M101" s="81"/>
      <c r="N101" s="118"/>
      <c r="O101" s="223">
        <f>SUM(Fluxo_de_Caixa_Janeiro3102013[[#This Row],[Janeiro]:[Dezembro]])</f>
        <v>70393.56</v>
      </c>
      <c r="P101" s="193">
        <f t="shared" ref="P101:P130" si="7">IFERROR(O101/$O$27,"0,00%")</f>
        <v>4.0031086755147591E-2</v>
      </c>
      <c r="Q101" s="93">
        <v>3.9877930721655054E-2</v>
      </c>
      <c r="R101" s="32" t="str">
        <f>IF(Fluxo_de_Caixa_Janeiro3102013[[#This Row],[% ACUMULADO  2º SEMEST 2026]]&lt;=Fluxo_de_Caixa_Janeiro3102013[[#This Row],[Coluna1]],"VERDADEIRO","FALSO")</f>
        <v>FALSO</v>
      </c>
    </row>
    <row r="102" spans="1:20" x14ac:dyDescent="0.25">
      <c r="B102" s="55" t="str">
        <f>Fluxo_de_Caixa_Janeiro[[#This Row],[Fluxo de Caixa 2026 CTR]]</f>
        <v>3.2.02. Adiantamento Salários/Vales</v>
      </c>
      <c r="C102" s="35"/>
      <c r="D102" s="62"/>
      <c r="E102" s="62"/>
      <c r="F102" s="62">
        <f>Fluxo_de_Caixa_Janeiro345[[#This Row],[ABRIL]]</f>
        <v>1900</v>
      </c>
      <c r="G102" s="62">
        <f>Fluxo_de_Caixa_Janeiro3459[[#This Row],[MAIO]]</f>
        <v>1660</v>
      </c>
      <c r="H102" s="62">
        <f>Fluxo_de_Caixa_Janeiro345911[[#This Row],[JUNHO]]</f>
        <v>0</v>
      </c>
      <c r="I102" s="35"/>
      <c r="J102" s="62"/>
      <c r="K102" s="62"/>
      <c r="L102" s="62"/>
      <c r="M102" s="62"/>
      <c r="N102" s="119"/>
      <c r="O102" s="224">
        <f>SUM(Fluxo_de_Caixa_Janeiro3102013[[#This Row],[Janeiro]:[Dezembro]])</f>
        <v>3560</v>
      </c>
      <c r="P102" s="194">
        <f t="shared" si="7"/>
        <v>2.0244844677315002E-3</v>
      </c>
      <c r="Q102" s="75">
        <v>2.9079871080979788E-3</v>
      </c>
      <c r="R102" s="32" t="str">
        <f>IF(Fluxo_de_Caixa_Janeiro3102013[[#This Row],[% ACUMULADO  2º SEMEST 2026]]&lt;=Fluxo_de_Caixa_Janeiro3102013[[#This Row],[Coluna1]],"VERDADEIRO","FALSO")</f>
        <v>VERDADEIRO</v>
      </c>
      <c r="T102" s="287"/>
    </row>
    <row r="103" spans="1:20" x14ac:dyDescent="0.25">
      <c r="B103" s="55" t="str">
        <f>Fluxo_de_Caixa_Janeiro[[#This Row],[Fluxo de Caixa 2026 CTR]]</f>
        <v xml:space="preserve">3.2.03. Auxilio Alimentação/Refeição </v>
      </c>
      <c r="C103" s="35"/>
      <c r="D103" s="62"/>
      <c r="E103" s="62"/>
      <c r="F103" s="62">
        <f>Fluxo_de_Caixa_Janeiro345[[#This Row],[ABRIL]]</f>
        <v>1070.8900000000001</v>
      </c>
      <c r="G103" s="62">
        <f>Fluxo_de_Caixa_Janeiro3459[[#This Row],[MAIO]]</f>
        <v>1076.98</v>
      </c>
      <c r="H103" s="62">
        <f>Fluxo_de_Caixa_Janeiro345911[[#This Row],[JUNHO]]</f>
        <v>0</v>
      </c>
      <c r="I103" s="35"/>
      <c r="J103" s="62"/>
      <c r="K103" s="62"/>
      <c r="L103" s="62"/>
      <c r="M103" s="62"/>
      <c r="N103" s="119"/>
      <c r="O103" s="224">
        <f>SUM(Fluxo_de_Caixa_Janeiro3102013[[#This Row],[Janeiro]:[Dezembro]])</f>
        <v>2147.87</v>
      </c>
      <c r="P103" s="194">
        <f t="shared" si="7"/>
        <v>1.2214408577827128E-3</v>
      </c>
      <c r="Q103" s="75">
        <v>6.2733691939551046E-3</v>
      </c>
      <c r="R103" s="32" t="str">
        <f>IF(Fluxo_de_Caixa_Janeiro3102013[[#This Row],[% ACUMULADO  2º SEMEST 2026]]&lt;=Fluxo_de_Caixa_Janeiro3102013[[#This Row],[Coluna1]],"VERDADEIRO","FALSO")</f>
        <v>VERDADEIRO</v>
      </c>
    </row>
    <row r="104" spans="1:20" x14ac:dyDescent="0.25">
      <c r="B104" s="55" t="str">
        <f>Fluxo_de_Caixa_Janeiro[[#This Row],[Fluxo de Caixa 2026 CTR]]</f>
        <v>3.2.04. Auxilio Combustível</v>
      </c>
      <c r="C104" s="35"/>
      <c r="D104" s="62"/>
      <c r="E104" s="62"/>
      <c r="F104" s="62">
        <f>Fluxo_de_Caixa_Janeiro345[[#This Row],[ABRIL]]</f>
        <v>0</v>
      </c>
      <c r="G104" s="62">
        <f>Fluxo_de_Caixa_Janeiro3459[[#This Row],[MAIO]]</f>
        <v>0</v>
      </c>
      <c r="H104" s="62">
        <f>Fluxo_de_Caixa_Janeiro345911[[#This Row],[JUNHO]]</f>
        <v>0</v>
      </c>
      <c r="I104" s="35"/>
      <c r="J104" s="62"/>
      <c r="K104" s="62"/>
      <c r="L104" s="62"/>
      <c r="M104" s="62"/>
      <c r="N104" s="119"/>
      <c r="O104" s="224">
        <f>SUM(Fluxo_de_Caixa_Janeiro3102013[[#This Row],[Janeiro]:[Dezembro]])</f>
        <v>0</v>
      </c>
      <c r="P104" s="194">
        <f t="shared" si="7"/>
        <v>0</v>
      </c>
      <c r="Q104" s="75">
        <v>0</v>
      </c>
      <c r="R104" s="32" t="str">
        <f>IF(Fluxo_de_Caixa_Janeiro3102013[[#This Row],[% ACUMULADO  2º SEMEST 2026]]&lt;=Fluxo_de_Caixa_Janeiro3102013[[#This Row],[Coluna1]],"VERDADEIRO","FALSO")</f>
        <v>VERDADEIRO</v>
      </c>
    </row>
    <row r="105" spans="1:20" x14ac:dyDescent="0.25">
      <c r="B105" s="55" t="str">
        <f>Fluxo_de_Caixa_Janeiro[[#This Row],[Fluxo de Caixa 2026 CTR]]</f>
        <v>3.2.05. Seguro de Vida Funcionarios</v>
      </c>
      <c r="C105" s="35"/>
      <c r="D105" s="62"/>
      <c r="E105" s="62"/>
      <c r="F105" s="62">
        <f>Fluxo_de_Caixa_Janeiro345[[#This Row],[ABRIL]]</f>
        <v>445.17</v>
      </c>
      <c r="G105" s="62">
        <f>Fluxo_de_Caixa_Janeiro3459[[#This Row],[MAIO]]</f>
        <v>445.17</v>
      </c>
      <c r="H105" s="62">
        <f>Fluxo_de_Caixa_Janeiro345911[[#This Row],[JUNHO]]</f>
        <v>0</v>
      </c>
      <c r="I105" s="35"/>
      <c r="J105" s="62"/>
      <c r="K105" s="62"/>
      <c r="L105" s="62"/>
      <c r="M105" s="62"/>
      <c r="N105" s="119"/>
      <c r="O105" s="224">
        <f>SUM(Fluxo_de_Caixa_Janeiro3102013[[#This Row],[Janeiro]:[Dezembro]])</f>
        <v>890.34</v>
      </c>
      <c r="P105" s="194">
        <f t="shared" si="7"/>
        <v>5.0631446657305168E-4</v>
      </c>
      <c r="Q105" s="75">
        <v>4.1543655069116041E-4</v>
      </c>
      <c r="R105" s="32" t="str">
        <f>IF(Fluxo_de_Caixa_Janeiro3102013[[#This Row],[% ACUMULADO  2º SEMEST 2026]]&lt;=Fluxo_de_Caixa_Janeiro3102013[[#This Row],[Coluna1]],"VERDADEIRO","FALSO")</f>
        <v>FALSO</v>
      </c>
    </row>
    <row r="106" spans="1:20" x14ac:dyDescent="0.25">
      <c r="B106" s="55" t="str">
        <f>Fluxo_de_Caixa_Janeiro[[#This Row],[Fluxo de Caixa 2026 CTR]]</f>
        <v>3.2.06. Confraternização e premiação</v>
      </c>
      <c r="C106" s="35"/>
      <c r="D106" s="62"/>
      <c r="E106" s="62"/>
      <c r="F106" s="62">
        <f>Fluxo_de_Caixa_Janeiro345[[#This Row],[ABRIL]]</f>
        <v>10852.63</v>
      </c>
      <c r="G106" s="62">
        <f>Fluxo_de_Caixa_Janeiro3459[[#This Row],[MAIO]]</f>
        <v>6869.42</v>
      </c>
      <c r="H106" s="62">
        <f>Fluxo_de_Caixa_Janeiro345911[[#This Row],[JUNHO]]</f>
        <v>0</v>
      </c>
      <c r="I106" s="35"/>
      <c r="J106" s="62"/>
      <c r="K106" s="62"/>
      <c r="L106" s="62"/>
      <c r="M106" s="62"/>
      <c r="N106" s="119"/>
      <c r="O106" s="224">
        <f>SUM(Fluxo_de_Caixa_Janeiro3102013[[#This Row],[Janeiro]:[Dezembro]])</f>
        <v>17722.05</v>
      </c>
      <c r="P106" s="194">
        <f t="shared" si="7"/>
        <v>1.0078094090269952E-2</v>
      </c>
      <c r="Q106" s="75">
        <v>1.2121700209178912E-3</v>
      </c>
      <c r="R106" s="32" t="str">
        <f>IF(Fluxo_de_Caixa_Janeiro3102013[[#This Row],[% ACUMULADO  2º SEMEST 2026]]&lt;=Fluxo_de_Caixa_Janeiro3102013[[#This Row],[Coluna1]],"VERDADEIRO","FALSO")</f>
        <v>FALSO</v>
      </c>
    </row>
    <row r="107" spans="1:20" x14ac:dyDescent="0.25">
      <c r="B107" s="55" t="str">
        <f>Fluxo_de_Caixa_Janeiro[[#This Row],[Fluxo de Caixa 2026 CTR]]</f>
        <v>3.2.07. Viagens e Estadias Funcionarios</v>
      </c>
      <c r="C107" s="35"/>
      <c r="D107" s="62"/>
      <c r="E107" s="62"/>
      <c r="F107" s="62">
        <f>Fluxo_de_Caixa_Janeiro345[[#This Row],[ABRIL]]</f>
        <v>1050</v>
      </c>
      <c r="G107" s="62">
        <f>Fluxo_de_Caixa_Janeiro3459[[#This Row],[MAIO]]</f>
        <v>350</v>
      </c>
      <c r="H107" s="62">
        <f>Fluxo_de_Caixa_Janeiro345911[[#This Row],[JUNHO]]</f>
        <v>0</v>
      </c>
      <c r="I107" s="35"/>
      <c r="J107" s="62"/>
      <c r="K107" s="62"/>
      <c r="L107" s="62"/>
      <c r="M107" s="62"/>
      <c r="N107" s="119"/>
      <c r="O107" s="224">
        <f>SUM(Fluxo_de_Caixa_Janeiro3102013[[#This Row],[Janeiro]:[Dezembro]])</f>
        <v>1400</v>
      </c>
      <c r="P107" s="194">
        <f t="shared" si="7"/>
        <v>7.9614557719778095E-4</v>
      </c>
      <c r="Q107" s="75">
        <v>2.5823933805432168E-3</v>
      </c>
      <c r="R107" s="32" t="str">
        <f>IF(Fluxo_de_Caixa_Janeiro3102013[[#This Row],[% ACUMULADO  2º SEMEST 2026]]&lt;=Fluxo_de_Caixa_Janeiro3102013[[#This Row],[Coluna1]],"VERDADEIRO","FALSO")</f>
        <v>VERDADEIRO</v>
      </c>
    </row>
    <row r="108" spans="1:20" x14ac:dyDescent="0.25">
      <c r="B108" s="55" t="str">
        <f>Fluxo_de_Caixa_Janeiro[[#This Row],[Fluxo de Caixa 2026 CTR]]</f>
        <v>3.2.08. Treinamento e Cursos</v>
      </c>
      <c r="C108" s="35"/>
      <c r="D108" s="62"/>
      <c r="E108" s="62"/>
      <c r="F108" s="62">
        <f>Fluxo_de_Caixa_Janeiro345[[#This Row],[ABRIL]]</f>
        <v>5060</v>
      </c>
      <c r="G108" s="62">
        <f>Fluxo_de_Caixa_Janeiro3459[[#This Row],[MAIO]]</f>
        <v>3610</v>
      </c>
      <c r="H108" s="62">
        <f>Fluxo_de_Caixa_Janeiro345911[[#This Row],[JUNHO]]</f>
        <v>0</v>
      </c>
      <c r="I108" s="35"/>
      <c r="J108" s="62"/>
      <c r="K108" s="62"/>
      <c r="L108" s="62"/>
      <c r="M108" s="62"/>
      <c r="N108" s="119"/>
      <c r="O108" s="224">
        <f>SUM(Fluxo_de_Caixa_Janeiro3102013[[#This Row],[Janeiro]:[Dezembro]])</f>
        <v>8670</v>
      </c>
      <c r="P108" s="194">
        <f t="shared" si="7"/>
        <v>4.9304158245034009E-3</v>
      </c>
      <c r="Q108" s="75">
        <v>2.062402204324808E-3</v>
      </c>
      <c r="R108" s="32" t="str">
        <f>IF(Fluxo_de_Caixa_Janeiro3102013[[#This Row],[% ACUMULADO  2º SEMEST 2026]]&lt;=Fluxo_de_Caixa_Janeiro3102013[[#This Row],[Coluna1]],"VERDADEIRO","FALSO")</f>
        <v>FALSO</v>
      </c>
    </row>
    <row r="109" spans="1:20" x14ac:dyDescent="0.25">
      <c r="B109" s="55" t="str">
        <f>Fluxo_de_Caixa_Janeiro[[#This Row],[Fluxo de Caixa 2026 CTR]]</f>
        <v>3.2.09. Ajuda de Custo Faculdade/Pós Graduação</v>
      </c>
      <c r="C109" s="35"/>
      <c r="D109" s="62"/>
      <c r="E109" s="62"/>
      <c r="F109" s="62">
        <f>Fluxo_de_Caixa_Janeiro345[[#This Row],[ABRIL]]</f>
        <v>0</v>
      </c>
      <c r="G109" s="62">
        <f>Fluxo_de_Caixa_Janeiro3459[[#This Row],[MAIO]]</f>
        <v>0</v>
      </c>
      <c r="H109" s="62">
        <f>Fluxo_de_Caixa_Janeiro345911[[#This Row],[JUNHO]]</f>
        <v>0</v>
      </c>
      <c r="I109" s="35"/>
      <c r="J109" s="62"/>
      <c r="K109" s="62"/>
      <c r="L109" s="62"/>
      <c r="M109" s="62"/>
      <c r="N109" s="119"/>
      <c r="O109" s="224">
        <f>SUM(Fluxo_de_Caixa_Janeiro3102013[[#This Row],[Janeiro]:[Dezembro]])</f>
        <v>0</v>
      </c>
      <c r="P109" s="194">
        <f t="shared" si="7"/>
        <v>0</v>
      </c>
      <c r="Q109" s="75">
        <v>0</v>
      </c>
      <c r="R109" s="32" t="str">
        <f>IF(Fluxo_de_Caixa_Janeiro3102013[[#This Row],[% ACUMULADO  2º SEMEST 2026]]&lt;=Fluxo_de_Caixa_Janeiro3102013[[#This Row],[Coluna1]],"VERDADEIRO","FALSO")</f>
        <v>VERDADEIRO</v>
      </c>
    </row>
    <row r="110" spans="1:20" x14ac:dyDescent="0.25">
      <c r="B110" s="55" t="str">
        <f>Fluxo_de_Caixa_Janeiro[[#This Row],[Fluxo de Caixa 2026 CTR]]</f>
        <v>3.2.10. Férias</v>
      </c>
      <c r="C110" s="35"/>
      <c r="D110" s="62"/>
      <c r="E110" s="62"/>
      <c r="F110" s="62">
        <f>Fluxo_de_Caixa_Janeiro345[[#This Row],[ABRIL]]</f>
        <v>0</v>
      </c>
      <c r="G110" s="62">
        <f>Fluxo_de_Caixa_Janeiro3459[[#This Row],[MAIO]]</f>
        <v>0</v>
      </c>
      <c r="H110" s="62">
        <f>Fluxo_de_Caixa_Janeiro345911[[#This Row],[JUNHO]]</f>
        <v>0</v>
      </c>
      <c r="I110" s="35"/>
      <c r="J110" s="62"/>
      <c r="K110" s="62"/>
      <c r="L110" s="62"/>
      <c r="M110" s="62"/>
      <c r="N110" s="119"/>
      <c r="O110" s="224">
        <f>SUM(Fluxo_de_Caixa_Janeiro3102013[[#This Row],[Janeiro]:[Dezembro]])</f>
        <v>0</v>
      </c>
      <c r="P110" s="194">
        <f t="shared" si="7"/>
        <v>0</v>
      </c>
      <c r="Q110" s="75">
        <v>1.5248531106735804E-3</v>
      </c>
      <c r="R110" s="32" t="str">
        <f>IF(Fluxo_de_Caixa_Janeiro3102013[[#This Row],[% ACUMULADO  2º SEMEST 2026]]&lt;=Fluxo_de_Caixa_Janeiro3102013[[#This Row],[Coluna1]],"VERDADEIRO","FALSO")</f>
        <v>VERDADEIRO</v>
      </c>
    </row>
    <row r="111" spans="1:20" x14ac:dyDescent="0.25">
      <c r="B111" s="55" t="str">
        <f>Fluxo_de_Caixa_Janeiro[[#This Row],[Fluxo de Caixa 2026 CTR]]</f>
        <v>3.2.11. Auxilio Saúde e Odontológico</v>
      </c>
      <c r="C111" s="35"/>
      <c r="D111" s="62"/>
      <c r="E111" s="62"/>
      <c r="F111" s="62">
        <f>Fluxo_de_Caixa_Janeiro345[[#This Row],[ABRIL]]</f>
        <v>0</v>
      </c>
      <c r="G111" s="62">
        <f>Fluxo_de_Caixa_Janeiro3459[[#This Row],[MAIO]]</f>
        <v>45.15</v>
      </c>
      <c r="H111" s="62">
        <f>Fluxo_de_Caixa_Janeiro345911[[#This Row],[JUNHO]]</f>
        <v>0</v>
      </c>
      <c r="I111" s="35"/>
      <c r="J111" s="62"/>
      <c r="K111" s="62"/>
      <c r="L111" s="62"/>
      <c r="M111" s="62"/>
      <c r="N111" s="119"/>
      <c r="O111" s="224">
        <f>SUM(Fluxo_de_Caixa_Janeiro3102013[[#This Row],[Janeiro]:[Dezembro]])</f>
        <v>45.15</v>
      </c>
      <c r="P111" s="194">
        <f t="shared" si="7"/>
        <v>2.5675694864628436E-5</v>
      </c>
      <c r="Q111" s="75">
        <v>7.0752770021566855E-4</v>
      </c>
      <c r="R111" s="32" t="str">
        <f>IF(Fluxo_de_Caixa_Janeiro3102013[[#This Row],[% ACUMULADO  2º SEMEST 2026]]&lt;=Fluxo_de_Caixa_Janeiro3102013[[#This Row],[Coluna1]],"VERDADEIRO","FALSO")</f>
        <v>VERDADEIRO</v>
      </c>
    </row>
    <row r="112" spans="1:20" x14ac:dyDescent="0.25">
      <c r="B112" s="55" t="str">
        <f>Fluxo_de_Caixa_Janeiro[[#This Row],[Fluxo de Caixa 2026 CTR]]</f>
        <v>3.2.12. Vale Transporte</v>
      </c>
      <c r="C112" s="35"/>
      <c r="D112" s="62"/>
      <c r="E112" s="62"/>
      <c r="F112" s="62">
        <f>Fluxo_de_Caixa_Janeiro345[[#This Row],[ABRIL]]</f>
        <v>0</v>
      </c>
      <c r="G112" s="62">
        <f>Fluxo_de_Caixa_Janeiro3459[[#This Row],[MAIO]]</f>
        <v>0</v>
      </c>
      <c r="H112" s="62">
        <f>Fluxo_de_Caixa_Janeiro345911[[#This Row],[JUNHO]]</f>
        <v>0</v>
      </c>
      <c r="I112" s="35"/>
      <c r="J112" s="62"/>
      <c r="K112" s="62"/>
      <c r="L112" s="62"/>
      <c r="M112" s="62"/>
      <c r="N112" s="119"/>
      <c r="O112" s="224">
        <f>SUM(Fluxo_de_Caixa_Janeiro3102013[[#This Row],[Janeiro]:[Dezembro]])</f>
        <v>0</v>
      </c>
      <c r="P112" s="194">
        <f t="shared" si="7"/>
        <v>0</v>
      </c>
      <c r="Q112" s="75">
        <v>0</v>
      </c>
      <c r="R112" s="32" t="str">
        <f>IF(Fluxo_de_Caixa_Janeiro3102013[[#This Row],[% ACUMULADO  2º SEMEST 2026]]&lt;=Fluxo_de_Caixa_Janeiro3102013[[#This Row],[Coluna1]],"VERDADEIRO","FALSO")</f>
        <v>VERDADEIRO</v>
      </c>
    </row>
    <row r="113" spans="2:18" x14ac:dyDescent="0.25">
      <c r="B113" s="55" t="str">
        <f>Fluxo_de_Caixa_Janeiro[[#This Row],[Fluxo de Caixa 2026 CTR]]</f>
        <v>3.2.13. FGTS</v>
      </c>
      <c r="C113" s="35"/>
      <c r="D113" s="62"/>
      <c r="E113" s="62"/>
      <c r="F113" s="62">
        <f>Fluxo_de_Caixa_Janeiro345[[#This Row],[ABRIL]]</f>
        <v>2588.12</v>
      </c>
      <c r="G113" s="62">
        <f>Fluxo_de_Caixa_Janeiro3459[[#This Row],[MAIO]]</f>
        <v>2865.4</v>
      </c>
      <c r="H113" s="62">
        <f>Fluxo_de_Caixa_Janeiro345911[[#This Row],[JUNHO]]</f>
        <v>0</v>
      </c>
      <c r="I113" s="35"/>
      <c r="J113" s="62"/>
      <c r="K113" s="62"/>
      <c r="L113" s="62"/>
      <c r="M113" s="62"/>
      <c r="N113" s="119"/>
      <c r="O113" s="224">
        <f>SUM(Fluxo_de_Caixa_Janeiro3102013[[#This Row],[Janeiro]:[Dezembro]])</f>
        <v>5453.52</v>
      </c>
      <c r="P113" s="194">
        <f t="shared" si="7"/>
        <v>3.1012827343997449E-3</v>
      </c>
      <c r="Q113" s="75">
        <v>2.7852375120125759E-3</v>
      </c>
      <c r="R113" s="32" t="str">
        <f>IF(Fluxo_de_Caixa_Janeiro3102013[[#This Row],[% ACUMULADO  2º SEMEST 2026]]&lt;=Fluxo_de_Caixa_Janeiro3102013[[#This Row],[Coluna1]],"VERDADEIRO","FALSO")</f>
        <v>FALSO</v>
      </c>
    </row>
    <row r="114" spans="2:18" x14ac:dyDescent="0.25">
      <c r="B114" s="169" t="str">
        <f>Fluxo_de_Caixa_Janeiro[[#This Row],[Fluxo de Caixa 2026 CTR]]</f>
        <v xml:space="preserve">3.2.14. INSS/GPS </v>
      </c>
      <c r="C114" s="41"/>
      <c r="D114" s="81"/>
      <c r="E114" s="81"/>
      <c r="F114" s="81">
        <f>Fluxo_de_Caixa_Janeiro345[[#This Row],[ABRIL]]</f>
        <v>13320.75</v>
      </c>
      <c r="G114" s="81">
        <f>Fluxo_de_Caixa_Janeiro3459[[#This Row],[MAIO]]</f>
        <v>8759.4500000000007</v>
      </c>
      <c r="H114" s="81">
        <f>Fluxo_de_Caixa_Janeiro345911[[#This Row],[JUNHO]]</f>
        <v>0</v>
      </c>
      <c r="I114" s="41"/>
      <c r="J114" s="81"/>
      <c r="K114" s="81"/>
      <c r="L114" s="81"/>
      <c r="M114" s="81"/>
      <c r="N114" s="118"/>
      <c r="O114" s="223">
        <f>SUM(Fluxo_de_Caixa_Janeiro3102013[[#This Row],[Janeiro]:[Dezembro]])</f>
        <v>22080.2</v>
      </c>
      <c r="P114" s="193">
        <f t="shared" si="7"/>
        <v>1.2556466838316032E-2</v>
      </c>
      <c r="Q114" s="93">
        <v>1.5530241498498545E-2</v>
      </c>
      <c r="R114" s="32" t="str">
        <f>IF(Fluxo_de_Caixa_Janeiro3102013[[#This Row],[% ACUMULADO  2º SEMEST 2026]]&lt;=Fluxo_de_Caixa_Janeiro3102013[[#This Row],[Coluna1]],"VERDADEIRO","FALSO")</f>
        <v>VERDADEIRO</v>
      </c>
    </row>
    <row r="115" spans="2:18" x14ac:dyDescent="0.25">
      <c r="B115" s="55" t="str">
        <f>Fluxo_de_Caixa_Janeiro[[#This Row],[Fluxo de Caixa 2026 CTR]]</f>
        <v>3.2.15. Contribuição Sindical</v>
      </c>
      <c r="C115" s="35"/>
      <c r="D115" s="62"/>
      <c r="E115" s="62"/>
      <c r="F115" s="62">
        <f>Fluxo_de_Caixa_Janeiro345[[#This Row],[ABRIL]]</f>
        <v>176</v>
      </c>
      <c r="G115" s="62">
        <f>Fluxo_de_Caixa_Janeiro3459[[#This Row],[MAIO]]</f>
        <v>308</v>
      </c>
      <c r="H115" s="62">
        <f>Fluxo_de_Caixa_Janeiro345911[[#This Row],[JUNHO]]</f>
        <v>0</v>
      </c>
      <c r="I115" s="35"/>
      <c r="J115" s="62"/>
      <c r="K115" s="62"/>
      <c r="L115" s="62"/>
      <c r="M115" s="62"/>
      <c r="N115" s="119"/>
      <c r="O115" s="224">
        <f>SUM(Fluxo_de_Caixa_Janeiro3102013[[#This Row],[Janeiro]:[Dezembro]])</f>
        <v>484</v>
      </c>
      <c r="P115" s="194">
        <f t="shared" si="7"/>
        <v>2.7523889954551855E-4</v>
      </c>
      <c r="Q115" s="75">
        <v>5.1361147873303084E-4</v>
      </c>
      <c r="R115" s="32" t="str">
        <f>IF(Fluxo_de_Caixa_Janeiro3102013[[#This Row],[% ACUMULADO  2º SEMEST 2026]]&lt;=Fluxo_de_Caixa_Janeiro3102013[[#This Row],[Coluna1]],"VERDADEIRO","FALSO")</f>
        <v>VERDADEIRO</v>
      </c>
    </row>
    <row r="116" spans="2:18" x14ac:dyDescent="0.25">
      <c r="B116" s="55" t="str">
        <f>Fluxo_de_Caixa_Janeiro[[#This Row],[Fluxo de Caixa 2026 CTR]]</f>
        <v xml:space="preserve">3.2.16. Rescisão Trabalhista </v>
      </c>
      <c r="C116" s="35"/>
      <c r="D116" s="62"/>
      <c r="E116" s="62"/>
      <c r="F116" s="62">
        <f>Fluxo_de_Caixa_Janeiro345[[#This Row],[ABRIL]]</f>
        <v>0</v>
      </c>
      <c r="G116" s="62">
        <f>Fluxo_de_Caixa_Janeiro3459[[#This Row],[MAIO]]</f>
        <v>0</v>
      </c>
      <c r="H116" s="62">
        <f>Fluxo_de_Caixa_Janeiro345911[[#This Row],[JUNHO]]</f>
        <v>0</v>
      </c>
      <c r="I116" s="35"/>
      <c r="J116" s="62"/>
      <c r="K116" s="62"/>
      <c r="L116" s="62"/>
      <c r="M116" s="62"/>
      <c r="N116" s="119"/>
      <c r="O116" s="224">
        <f>SUM(Fluxo_de_Caixa_Janeiro3102013[[#This Row],[Janeiro]:[Dezembro]])</f>
        <v>0</v>
      </c>
      <c r="P116" s="194">
        <f t="shared" si="7"/>
        <v>0</v>
      </c>
      <c r="Q116" s="75">
        <v>0</v>
      </c>
      <c r="R116" s="32" t="str">
        <f>IF(Fluxo_de_Caixa_Janeiro3102013[[#This Row],[% ACUMULADO  2º SEMEST 2026]]&lt;=Fluxo_de_Caixa_Janeiro3102013[[#This Row],[Coluna1]],"VERDADEIRO","FALSO")</f>
        <v>VERDADEIRO</v>
      </c>
    </row>
    <row r="117" spans="2:18" x14ac:dyDescent="0.25">
      <c r="B117" s="55" t="str">
        <f>Fluxo_de_Caixa_Janeiro[[#This Row],[Fluxo de Caixa 2026 CTR]]</f>
        <v xml:space="preserve">3.2.17. Seleção e Contratação </v>
      </c>
      <c r="C117" s="35"/>
      <c r="D117" s="62"/>
      <c r="E117" s="62"/>
      <c r="F117" s="62">
        <f>Fluxo_de_Caixa_Janeiro345[[#This Row],[ABRIL]]</f>
        <v>0</v>
      </c>
      <c r="G117" s="62">
        <f>Fluxo_de_Caixa_Janeiro3459[[#This Row],[MAIO]]</f>
        <v>0</v>
      </c>
      <c r="H117" s="62">
        <f>Fluxo_de_Caixa_Janeiro345911[[#This Row],[JUNHO]]</f>
        <v>0</v>
      </c>
      <c r="I117" s="35"/>
      <c r="J117" s="62"/>
      <c r="K117" s="62"/>
      <c r="L117" s="62"/>
      <c r="M117" s="62"/>
      <c r="N117" s="119"/>
      <c r="O117" s="224">
        <f>SUM(Fluxo_de_Caixa_Janeiro3102013[[#This Row],[Janeiro]:[Dezembro]])</f>
        <v>0</v>
      </c>
      <c r="P117" s="194">
        <f t="shared" si="7"/>
        <v>0</v>
      </c>
      <c r="Q117" s="75">
        <v>0</v>
      </c>
      <c r="R117" s="32" t="str">
        <f>IF(Fluxo_de_Caixa_Janeiro3102013[[#This Row],[% ACUMULADO  2º SEMEST 2026]]&lt;=Fluxo_de_Caixa_Janeiro3102013[[#This Row],[Coluna1]],"VERDADEIRO","FALSO")</f>
        <v>VERDADEIRO</v>
      </c>
    </row>
    <row r="118" spans="2:18" x14ac:dyDescent="0.25">
      <c r="B118" s="55" t="str">
        <f>Fluxo_de_Caixa_Janeiro[[#This Row],[Fluxo de Caixa 2026 CTR]]</f>
        <v>3.2.18. ASO</v>
      </c>
      <c r="C118" s="35"/>
      <c r="D118" s="62"/>
      <c r="E118" s="62"/>
      <c r="F118" s="62">
        <f>Fluxo_de_Caixa_Janeiro345[[#This Row],[ABRIL]]</f>
        <v>2186</v>
      </c>
      <c r="G118" s="62">
        <f>Fluxo_de_Caixa_Janeiro3459[[#This Row],[MAIO]]</f>
        <v>390</v>
      </c>
      <c r="H118" s="62">
        <f>Fluxo_de_Caixa_Janeiro345911[[#This Row],[JUNHO]]</f>
        <v>0</v>
      </c>
      <c r="I118" s="35"/>
      <c r="J118" s="62"/>
      <c r="K118" s="62"/>
      <c r="L118" s="62"/>
      <c r="M118" s="62"/>
      <c r="N118" s="119"/>
      <c r="O118" s="224">
        <f>SUM(Fluxo_de_Caixa_Janeiro3102013[[#This Row],[Janeiro]:[Dezembro]])</f>
        <v>2576</v>
      </c>
      <c r="P118" s="194">
        <f t="shared" si="7"/>
        <v>1.464907862043917E-3</v>
      </c>
      <c r="Q118" s="75">
        <v>0</v>
      </c>
      <c r="R118" s="32" t="str">
        <f>IF(Fluxo_de_Caixa_Janeiro3102013[[#This Row],[% ACUMULADO  2º SEMEST 2026]]&lt;=Fluxo_de_Caixa_Janeiro3102013[[#This Row],[Coluna1]],"VERDADEIRO","FALSO")</f>
        <v>FALSO</v>
      </c>
    </row>
    <row r="119" spans="2:18" x14ac:dyDescent="0.25">
      <c r="B119" s="55" t="str">
        <f>Fluxo_de_Caixa_Janeiro[[#This Row],[Fluxo de Caixa 2026 CTR]]</f>
        <v>3.2.19. IRRF S/ Salário</v>
      </c>
      <c r="C119" s="35"/>
      <c r="D119" s="62"/>
      <c r="E119" s="62"/>
      <c r="F119" s="62">
        <f>Fluxo_de_Caixa_Janeiro345[[#This Row],[ABRIL]]</f>
        <v>0</v>
      </c>
      <c r="G119" s="62">
        <f>Fluxo_de_Caixa_Janeiro3459[[#This Row],[MAIO]]</f>
        <v>0</v>
      </c>
      <c r="H119" s="62">
        <f>Fluxo_de_Caixa_Janeiro345911[[#This Row],[JUNHO]]</f>
        <v>0</v>
      </c>
      <c r="I119" s="35"/>
      <c r="J119" s="62"/>
      <c r="K119" s="62"/>
      <c r="L119" s="62"/>
      <c r="M119" s="62"/>
      <c r="N119" s="119"/>
      <c r="O119" s="224">
        <f>SUM(Fluxo_de_Caixa_Janeiro3102013[[#This Row],[Janeiro]:[Dezembro]])</f>
        <v>0</v>
      </c>
      <c r="P119" s="194">
        <f t="shared" si="7"/>
        <v>0</v>
      </c>
      <c r="Q119" s="75">
        <v>0</v>
      </c>
      <c r="R119" s="32" t="str">
        <f>IF(Fluxo_de_Caixa_Janeiro3102013[[#This Row],[% ACUMULADO  2º SEMEST 2026]]&lt;=Fluxo_de_Caixa_Janeiro3102013[[#This Row],[Coluna1]],"VERDADEIRO","FALSO")</f>
        <v>VERDADEIRO</v>
      </c>
    </row>
    <row r="120" spans="2:18" x14ac:dyDescent="0.25">
      <c r="B120" s="55" t="str">
        <f>Fluxo_de_Caixa_Janeiro[[#This Row],[Fluxo de Caixa 2026 CTR]]</f>
        <v>3.2.20. Despesa com Terceirizado</v>
      </c>
      <c r="C120" s="35"/>
      <c r="D120" s="62"/>
      <c r="E120" s="62"/>
      <c r="F120" s="62">
        <f>Fluxo_de_Caixa_Janeiro345[[#This Row],[ABRIL]]</f>
        <v>10065.5</v>
      </c>
      <c r="G120" s="62">
        <f>Fluxo_de_Caixa_Janeiro3459[[#This Row],[MAIO]]</f>
        <v>9589</v>
      </c>
      <c r="H120" s="62">
        <f>Fluxo_de_Caixa_Janeiro345911[[#This Row],[JUNHO]]</f>
        <v>0</v>
      </c>
      <c r="I120" s="35"/>
      <c r="J120" s="62"/>
      <c r="K120" s="62"/>
      <c r="L120" s="62"/>
      <c r="M120" s="62"/>
      <c r="N120" s="119"/>
      <c r="O120" s="224">
        <f>SUM(Fluxo_de_Caixa_Janeiro3102013[[#This Row],[Janeiro]:[Dezembro]])</f>
        <v>19654.5</v>
      </c>
      <c r="P120" s="194">
        <f t="shared" si="7"/>
        <v>1.117703089073842E-2</v>
      </c>
      <c r="Q120" s="75">
        <v>0</v>
      </c>
      <c r="R120" s="32" t="str">
        <f>IF(Fluxo_de_Caixa_Janeiro3102013[[#This Row],[% ACUMULADO  2º SEMEST 2026]]&lt;=Fluxo_de_Caixa_Janeiro3102013[[#This Row],[Coluna1]],"VERDADEIRO","FALSO")</f>
        <v>FALSO</v>
      </c>
    </row>
    <row r="121" spans="2:18" x14ac:dyDescent="0.25">
      <c r="B121" s="55" t="str">
        <f>Fluxo_de_Caixa_Janeiro[[#This Row],[Fluxo de Caixa 2026 CTR]]</f>
        <v>3.2.21. Uniformes e EPI</v>
      </c>
      <c r="C121" s="35"/>
      <c r="D121" s="62"/>
      <c r="E121" s="62"/>
      <c r="F121" s="62">
        <f>Fluxo_de_Caixa_Janeiro345[[#This Row],[ABRIL]]</f>
        <v>630.76</v>
      </c>
      <c r="G121" s="62">
        <f>Fluxo_de_Caixa_Janeiro3459[[#This Row],[MAIO]]</f>
        <v>349.03</v>
      </c>
      <c r="H121" s="62">
        <f>Fluxo_de_Caixa_Janeiro345911[[#This Row],[JUNHO]]</f>
        <v>0</v>
      </c>
      <c r="I121" s="35"/>
      <c r="J121" s="62"/>
      <c r="K121" s="62"/>
      <c r="L121" s="62"/>
      <c r="M121" s="62"/>
      <c r="N121" s="119"/>
      <c r="O121" s="224">
        <f>SUM(Fluxo_de_Caixa_Janeiro3102013[[#This Row],[Janeiro]:[Dezembro]])</f>
        <v>979.79</v>
      </c>
      <c r="P121" s="194">
        <f t="shared" si="7"/>
        <v>5.5718248220186701E-4</v>
      </c>
      <c r="Q121" s="75">
        <v>3.437337007208013E-4</v>
      </c>
      <c r="R121" s="32" t="str">
        <f>IF(Fluxo_de_Caixa_Janeiro3102013[[#This Row],[% ACUMULADO  2º SEMEST 2026]]&lt;=Fluxo_de_Caixa_Janeiro3102013[[#This Row],[Coluna1]],"VERDADEIRO","FALSO")</f>
        <v>FALSO</v>
      </c>
    </row>
    <row r="122" spans="2:18" x14ac:dyDescent="0.25">
      <c r="B122" s="55" t="str">
        <f>Fluxo_de_Caixa_Janeiro[[#This Row],[Fluxo de Caixa 2026 CTR]]</f>
        <v>3.2.22. Adiantamento de 13º Salário</v>
      </c>
      <c r="C122" s="35"/>
      <c r="D122" s="62"/>
      <c r="E122" s="62"/>
      <c r="F122" s="62">
        <f>Fluxo_de_Caixa_Janeiro345[[#This Row],[ABRIL]]</f>
        <v>0</v>
      </c>
      <c r="G122" s="62">
        <f>Fluxo_de_Caixa_Janeiro3459[[#This Row],[MAIO]]</f>
        <v>0</v>
      </c>
      <c r="H122" s="62">
        <f>Fluxo_de_Caixa_Janeiro345911[[#This Row],[JUNHO]]</f>
        <v>0</v>
      </c>
      <c r="I122" s="35"/>
      <c r="J122" s="62"/>
      <c r="K122" s="62"/>
      <c r="L122" s="62"/>
      <c r="M122" s="62"/>
      <c r="N122" s="119"/>
      <c r="O122" s="224">
        <f>SUM(Fluxo_de_Caixa_Janeiro3102013[[#This Row],[Janeiro]:[Dezembro]])</f>
        <v>0</v>
      </c>
      <c r="P122" s="194">
        <f t="shared" si="7"/>
        <v>0</v>
      </c>
      <c r="Q122" s="75">
        <v>0</v>
      </c>
      <c r="R122" s="32" t="str">
        <f>IF(Fluxo_de_Caixa_Janeiro3102013[[#This Row],[% ACUMULADO  2º SEMEST 2026]]&lt;=Fluxo_de_Caixa_Janeiro3102013[[#This Row],[Coluna1]],"VERDADEIRO","FALSO")</f>
        <v>VERDADEIRO</v>
      </c>
    </row>
    <row r="123" spans="2:18" ht="15.75" thickBot="1" x14ac:dyDescent="0.3">
      <c r="B123" s="55" t="str">
        <f>Fluxo_de_Caixa_Janeiro[[#This Row],[Fluxo de Caixa 2026 CTR]]</f>
        <v>3.2.23. Decimo Terceiro Integral</v>
      </c>
      <c r="C123" s="35"/>
      <c r="D123" s="62"/>
      <c r="E123" s="62"/>
      <c r="F123" s="62">
        <f>Fluxo_de_Caixa_Janeiro345[[#This Row],[ABRIL]]</f>
        <v>0</v>
      </c>
      <c r="G123" s="62">
        <f>Fluxo_de_Caixa_Janeiro3459[[#This Row],[MAIO]]</f>
        <v>0</v>
      </c>
      <c r="H123" s="62">
        <f>Fluxo_de_Caixa_Janeiro345911[[#This Row],[JUNHO]]</f>
        <v>0</v>
      </c>
      <c r="I123" s="35"/>
      <c r="J123" s="62"/>
      <c r="K123" s="62"/>
      <c r="L123" s="62"/>
      <c r="M123" s="62"/>
      <c r="N123" s="119"/>
      <c r="O123" s="224">
        <f>SUM(Fluxo_de_Caixa_Janeiro3102013[[#This Row],[Janeiro]:[Dezembro]])</f>
        <v>0</v>
      </c>
      <c r="P123" s="194">
        <f t="shared" si="7"/>
        <v>0</v>
      </c>
      <c r="Q123" s="75">
        <v>0</v>
      </c>
      <c r="R123" s="32" t="str">
        <f>IF(Fluxo_de_Caixa_Janeiro3102013[[#This Row],[% ACUMULADO  2º SEMEST 2026]]&lt;=Fluxo_de_Caixa_Janeiro3102013[[#This Row],[Coluna1]],"VERDADEIRO","FALSO")</f>
        <v>VERDADEIRO</v>
      </c>
    </row>
    <row r="124" spans="2:18" hidden="1" x14ac:dyDescent="0.25">
      <c r="B124" s="378">
        <f>Fluxo_de_Caixa_Janeiro[[#This Row],[Fluxo de Caixa 2026 CTR]]</f>
        <v>0</v>
      </c>
      <c r="C124" s="357"/>
      <c r="D124" s="306"/>
      <c r="E124" s="306"/>
      <c r="F124" s="306">
        <f>Fluxo_de_Caixa_Janeiro345[[#This Row],[ABRIL]]</f>
        <v>0</v>
      </c>
      <c r="G124" s="306">
        <f>Fluxo_de_Caixa_Janeiro3459[[#This Row],[MAIO]]</f>
        <v>0</v>
      </c>
      <c r="H124" s="306">
        <f>Fluxo_de_Caixa_Janeiro345911[[#This Row],[JUNHO]]</f>
        <v>0</v>
      </c>
      <c r="I124" s="357"/>
      <c r="J124" s="306"/>
      <c r="K124" s="306"/>
      <c r="L124" s="306"/>
      <c r="M124" s="306"/>
      <c r="N124" s="360"/>
      <c r="O124" s="396">
        <f>SUM(Fluxo_de_Caixa_Janeiro3102013[[#This Row],[Janeiro]:[Dezembro]])</f>
        <v>0</v>
      </c>
      <c r="P124" s="194">
        <f t="shared" si="7"/>
        <v>0</v>
      </c>
      <c r="Q124" s="75">
        <v>0</v>
      </c>
      <c r="R124" s="32"/>
    </row>
    <row r="125" spans="2:18" hidden="1" x14ac:dyDescent="0.25">
      <c r="B125" s="385">
        <f>Fluxo_de_Caixa_Janeiro[[#This Row],[Fluxo de Caixa 2026 CTR]]</f>
        <v>0</v>
      </c>
      <c r="C125" s="357"/>
      <c r="D125" s="306"/>
      <c r="E125" s="306"/>
      <c r="F125" s="306">
        <f>Fluxo_de_Caixa_Janeiro345[[#This Row],[ABRIL]]</f>
        <v>0</v>
      </c>
      <c r="G125" s="306">
        <f>Fluxo_de_Caixa_Janeiro3459[[#This Row],[MAIO]]</f>
        <v>0</v>
      </c>
      <c r="H125" s="306">
        <f>Fluxo_de_Caixa_Janeiro345911[[#This Row],[JUNHO]]</f>
        <v>0</v>
      </c>
      <c r="I125" s="357"/>
      <c r="J125" s="306"/>
      <c r="K125" s="306"/>
      <c r="L125" s="306"/>
      <c r="M125" s="306"/>
      <c r="N125" s="360"/>
      <c r="O125" s="396">
        <f>SUM(Fluxo_de_Caixa_Janeiro3102013[[#This Row],[Janeiro]:[Dezembro]])</f>
        <v>0</v>
      </c>
      <c r="P125" s="194">
        <f t="shared" si="7"/>
        <v>0</v>
      </c>
      <c r="Q125" s="75">
        <v>0</v>
      </c>
      <c r="R125" s="32"/>
    </row>
    <row r="126" spans="2:18" hidden="1" x14ac:dyDescent="0.25">
      <c r="B126" s="378">
        <f>Fluxo_de_Caixa_Janeiro[[#This Row],[Fluxo de Caixa 2026 CTR]]</f>
        <v>0</v>
      </c>
      <c r="C126" s="358"/>
      <c r="D126" s="359"/>
      <c r="E126" s="359"/>
      <c r="F126" s="359">
        <f>Fluxo_de_Caixa_Janeiro345[[#This Row],[ABRIL]]</f>
        <v>0</v>
      </c>
      <c r="G126" s="359">
        <f>Fluxo_de_Caixa_Janeiro3459[[#This Row],[MAIO]]</f>
        <v>0</v>
      </c>
      <c r="H126" s="359">
        <f>Fluxo_de_Caixa_Janeiro345911[[#This Row],[JUNHO]]</f>
        <v>0</v>
      </c>
      <c r="I126" s="358"/>
      <c r="J126" s="359"/>
      <c r="K126" s="359"/>
      <c r="L126" s="359"/>
      <c r="M126" s="359"/>
      <c r="N126" s="361"/>
      <c r="O126" s="396">
        <f>SUM(Fluxo_de_Caixa_Janeiro3102013[[#This Row],[Janeiro]:[Dezembro]])</f>
        <v>0</v>
      </c>
      <c r="P126" s="194">
        <f t="shared" si="7"/>
        <v>0</v>
      </c>
      <c r="Q126" s="75">
        <v>0</v>
      </c>
      <c r="R126" s="32"/>
    </row>
    <row r="127" spans="2:18" hidden="1" x14ac:dyDescent="0.25">
      <c r="B127" s="385">
        <f>Fluxo_de_Caixa_Janeiro[[#This Row],[Fluxo de Caixa 2026 CTR]]</f>
        <v>0</v>
      </c>
      <c r="C127" s="358"/>
      <c r="D127" s="359"/>
      <c r="E127" s="359"/>
      <c r="F127" s="359">
        <f>Fluxo_de_Caixa_Janeiro345[[#This Row],[ABRIL]]</f>
        <v>0</v>
      </c>
      <c r="G127" s="359">
        <f>Fluxo_de_Caixa_Janeiro3459[[#This Row],[MAIO]]</f>
        <v>0</v>
      </c>
      <c r="H127" s="359">
        <f>Fluxo_de_Caixa_Janeiro345911[[#This Row],[JUNHO]]</f>
        <v>0</v>
      </c>
      <c r="I127" s="358"/>
      <c r="J127" s="359"/>
      <c r="K127" s="359"/>
      <c r="L127" s="359"/>
      <c r="M127" s="359"/>
      <c r="N127" s="361"/>
      <c r="O127" s="396">
        <f>SUM(Fluxo_de_Caixa_Janeiro3102013[[#This Row],[Janeiro]:[Dezembro]])</f>
        <v>0</v>
      </c>
      <c r="P127" s="194">
        <f t="shared" si="7"/>
        <v>0</v>
      </c>
      <c r="Q127" s="75">
        <v>0</v>
      </c>
      <c r="R127" s="32"/>
    </row>
    <row r="128" spans="2:18" hidden="1" x14ac:dyDescent="0.25">
      <c r="B128" s="55">
        <f>Fluxo_de_Caixa_Janeiro[[#This Row],[Fluxo de Caixa 2026 CTR]]</f>
        <v>0</v>
      </c>
      <c r="C128" s="35"/>
      <c r="D128" s="62"/>
      <c r="E128" s="62"/>
      <c r="F128" s="62">
        <f>Fluxo_de_Caixa_Janeiro345[[#This Row],[ABRIL]]</f>
        <v>0</v>
      </c>
      <c r="G128" s="62">
        <f>Fluxo_de_Caixa_Janeiro3459[[#This Row],[MAIO]]</f>
        <v>0</v>
      </c>
      <c r="H128" s="62">
        <f>Fluxo_de_Caixa_Janeiro345911[[#This Row],[JUNHO]]</f>
        <v>0</v>
      </c>
      <c r="I128" s="35"/>
      <c r="J128" s="62"/>
      <c r="K128" s="62"/>
      <c r="L128" s="62"/>
      <c r="M128" s="62"/>
      <c r="N128" s="119"/>
      <c r="O128" s="224">
        <f>SUM(Fluxo_de_Caixa_Janeiro3102013[[#This Row],[Janeiro]:[Dezembro]])</f>
        <v>0</v>
      </c>
      <c r="P128" s="194">
        <f t="shared" si="7"/>
        <v>0</v>
      </c>
      <c r="Q128" s="75">
        <v>0</v>
      </c>
      <c r="R128" s="32" t="str">
        <f>IF(Fluxo_de_Caixa_Janeiro3102013[[#This Row],[% ACUMULADO  2º SEMEST 2026]]&lt;=Fluxo_de_Caixa_Janeiro3102013[[#This Row],[Coluna1]],"VERDADEIRO","FALSO")</f>
        <v>VERDADEIRO</v>
      </c>
    </row>
    <row r="129" spans="1:18" hidden="1" x14ac:dyDescent="0.25">
      <c r="B129" s="55">
        <f>Fluxo_de_Caixa_Janeiro[[#This Row],[Fluxo de Caixa 2026 CTR]]</f>
        <v>0</v>
      </c>
      <c r="C129" s="35"/>
      <c r="D129" s="62"/>
      <c r="E129" s="62"/>
      <c r="F129" s="62">
        <f>Fluxo_de_Caixa_Janeiro345[[#This Row],[ABRIL]]</f>
        <v>0</v>
      </c>
      <c r="G129" s="62">
        <f>Fluxo_de_Caixa_Janeiro3459[[#This Row],[MAIO]]</f>
        <v>0</v>
      </c>
      <c r="H129" s="62">
        <f>Fluxo_de_Caixa_Janeiro345911[[#This Row],[JUNHO]]</f>
        <v>0</v>
      </c>
      <c r="I129" s="35"/>
      <c r="J129" s="62"/>
      <c r="K129" s="62"/>
      <c r="L129" s="62"/>
      <c r="M129" s="62"/>
      <c r="N129" s="119"/>
      <c r="O129" s="224">
        <f>SUM(Fluxo_de_Caixa_Janeiro3102013[[#This Row],[Janeiro]:[Dezembro]])</f>
        <v>0</v>
      </c>
      <c r="P129" s="194">
        <f t="shared" si="7"/>
        <v>0</v>
      </c>
      <c r="Q129" s="75">
        <v>0</v>
      </c>
      <c r="R129" s="32" t="str">
        <f>IF(Fluxo_de_Caixa_Janeiro3102013[[#This Row],[% ACUMULADO  2º SEMEST 2026]]&lt;=Fluxo_de_Caixa_Janeiro3102013[[#This Row],[Coluna1]],"VERDADEIRO","FALSO")</f>
        <v>VERDADEIRO</v>
      </c>
    </row>
    <row r="130" spans="1:18" ht="15.75" hidden="1" thickBot="1" x14ac:dyDescent="0.3">
      <c r="B130" s="276">
        <f>Fluxo_de_Caixa_Janeiro[[#This Row],[Fluxo de Caixa 2026 CTR]]</f>
        <v>0</v>
      </c>
      <c r="C130" s="36"/>
      <c r="D130" s="82"/>
      <c r="E130" s="82"/>
      <c r="F130" s="82">
        <f>Fluxo_de_Caixa_Janeiro345[[#This Row],[ABRIL]]</f>
        <v>0</v>
      </c>
      <c r="G130" s="82">
        <f>Fluxo_de_Caixa_Janeiro3459[[#This Row],[MAIO]]</f>
        <v>0</v>
      </c>
      <c r="H130" s="82">
        <f>Fluxo_de_Caixa_Janeiro345911[[#This Row],[JUNHO]]</f>
        <v>0</v>
      </c>
      <c r="I130" s="36"/>
      <c r="J130" s="82"/>
      <c r="K130" s="82"/>
      <c r="L130" s="82"/>
      <c r="M130" s="82"/>
      <c r="N130" s="120"/>
      <c r="O130" s="225">
        <f>SUM(Fluxo_de_Caixa_Janeiro3102013[[#This Row],[Janeiro]:[Dezembro]])</f>
        <v>0</v>
      </c>
      <c r="P130" s="195">
        <f t="shared" si="7"/>
        <v>0</v>
      </c>
      <c r="Q130" s="96">
        <v>0</v>
      </c>
      <c r="R130" s="32" t="str">
        <f>IF(Fluxo_de_Caixa_Janeiro3102013[[#This Row],[% ACUMULADO  2º SEMEST 2026]]&lt;=Fluxo_de_Caixa_Janeiro3102013[[#This Row],[Coluna1]],"VERDADEIRO","FALSO")</f>
        <v>VERDADEIRO</v>
      </c>
    </row>
    <row r="131" spans="1:18" ht="19.5" thickBot="1" x14ac:dyDescent="0.35">
      <c r="A131" s="16" t="s">
        <v>5</v>
      </c>
      <c r="B131" s="277" t="str">
        <f>Fluxo_de_Caixa_Janeiro[[#This Row],[Fluxo de Caixa 2026 CTR]]</f>
        <v>3.3. DESPESAS INFORMATICA</v>
      </c>
      <c r="C131" s="158"/>
      <c r="D131" s="97"/>
      <c r="E131" s="97"/>
      <c r="F131" s="97">
        <f>Fluxo_de_Caixa_Janeiro345[[#This Row],[ABRIL]]</f>
        <v>-5481.52</v>
      </c>
      <c r="G131" s="97">
        <f>Fluxo_de_Caixa_Janeiro3459[[#This Row],[MAIO]]</f>
        <v>-5281.52</v>
      </c>
      <c r="H131" s="97">
        <f>Fluxo_de_Caixa_Janeiro345911[[#This Row],[JUNHO]]</f>
        <v>0</v>
      </c>
      <c r="I131" s="158"/>
      <c r="J131" s="97"/>
      <c r="K131" s="97"/>
      <c r="L131" s="97"/>
      <c r="M131" s="97"/>
      <c r="N131" s="129"/>
      <c r="O131" s="226">
        <f>SUM(Fluxo_de_Caixa_Janeiro3102013[[#This Row],[Janeiro]:[Dezembro]])</f>
        <v>-10763.04</v>
      </c>
      <c r="P131" s="144">
        <f>-IFERROR(O131/$O$27,"0,00")</f>
        <v>6.1206762094305756E-3</v>
      </c>
      <c r="Q131" s="98">
        <v>6.0543558292038393E-3</v>
      </c>
      <c r="R131" s="32" t="str">
        <f>IF(Fluxo_de_Caixa_Janeiro3102013[[#This Row],[% ACUMULADO  2º SEMEST 2026]]&lt;=Fluxo_de_Caixa_Janeiro3102013[[#This Row],[Coluna1]],"VERDADEIRO","FALSO")</f>
        <v>FALSO</v>
      </c>
    </row>
    <row r="132" spans="1:18" x14ac:dyDescent="0.25">
      <c r="B132" s="169" t="str">
        <f>Fluxo_de_Caixa_Janeiro[[#This Row],[Fluxo de Caixa 2026 CTR]]</f>
        <v>3.3.01. Aquisição Equipamento Informa. Não Imobilizavel</v>
      </c>
      <c r="C132" s="41"/>
      <c r="D132" s="81"/>
      <c r="E132" s="81"/>
      <c r="F132" s="81">
        <f>Fluxo_de_Caixa_Janeiro345[[#This Row],[ABRIL]]</f>
        <v>200</v>
      </c>
      <c r="G132" s="81">
        <f>Fluxo_de_Caixa_Janeiro3459[[#This Row],[MAIO]]</f>
        <v>0</v>
      </c>
      <c r="H132" s="81">
        <f>Fluxo_de_Caixa_Janeiro345911[[#This Row],[JUNHO]]</f>
        <v>0</v>
      </c>
      <c r="I132" s="41"/>
      <c r="J132" s="81"/>
      <c r="K132" s="81"/>
      <c r="L132" s="81"/>
      <c r="M132" s="81"/>
      <c r="N132" s="118"/>
      <c r="O132" s="223">
        <f>SUM(Fluxo_de_Caixa_Janeiro3102013[[#This Row],[Janeiro]:[Dezembro]])</f>
        <v>200</v>
      </c>
      <c r="P132" s="193">
        <f t="shared" ref="P132:P144" si="8">IFERROR(O132/$O$27,"0,00%")</f>
        <v>1.1373508245682585E-4</v>
      </c>
      <c r="Q132" s="93">
        <v>2.9744331240053145E-3</v>
      </c>
      <c r="R132" s="32" t="str">
        <f>IF(Fluxo_de_Caixa_Janeiro3102013[[#This Row],[% ACUMULADO  2º SEMEST 2026]]&lt;=Fluxo_de_Caixa_Janeiro3102013[[#This Row],[Coluna1]],"VERDADEIRO","FALSO")</f>
        <v>VERDADEIRO</v>
      </c>
    </row>
    <row r="133" spans="1:18" hidden="1" x14ac:dyDescent="0.25">
      <c r="B133" s="55">
        <f>Fluxo_de_Caixa_Janeiro[[#This Row],[Fluxo de Caixa 2026 CTR]]</f>
        <v>0</v>
      </c>
      <c r="C133" s="35"/>
      <c r="D133" s="62"/>
      <c r="E133" s="62"/>
      <c r="F133" s="62">
        <f>Fluxo_de_Caixa_Janeiro345[[#This Row],[ABRIL]]</f>
        <v>0</v>
      </c>
      <c r="G133" s="62">
        <f>Fluxo_de_Caixa_Janeiro3459[[#This Row],[MAIO]]</f>
        <v>0</v>
      </c>
      <c r="H133" s="62">
        <f>Fluxo_de_Caixa_Janeiro345911[[#This Row],[JUNHO]]</f>
        <v>0</v>
      </c>
      <c r="I133" s="35"/>
      <c r="J133" s="62"/>
      <c r="K133" s="62"/>
      <c r="L133" s="62"/>
      <c r="M133" s="62"/>
      <c r="N133" s="119"/>
      <c r="O133" s="224">
        <f>SUM(Fluxo_de_Caixa_Janeiro3102013[[#This Row],[Janeiro]:[Dezembro]])</f>
        <v>0</v>
      </c>
      <c r="P133" s="194">
        <f t="shared" si="8"/>
        <v>0</v>
      </c>
      <c r="Q133" s="75">
        <v>0</v>
      </c>
      <c r="R133" s="32" t="str">
        <f>IF(Fluxo_de_Caixa_Janeiro3102013[[#This Row],[% ACUMULADO  2º SEMEST 2026]]&lt;=Fluxo_de_Caixa_Janeiro3102013[[#This Row],[Coluna1]],"VERDADEIRO","FALSO")</f>
        <v>VERDADEIRO</v>
      </c>
    </row>
    <row r="134" spans="1:18" x14ac:dyDescent="0.25">
      <c r="B134" s="55" t="str">
        <f>Fluxo_de_Caixa_Janeiro[[#This Row],[Fluxo de Caixa 2026 CTR]]</f>
        <v>3.3.03. Consultoria de TI</v>
      </c>
      <c r="C134" s="35"/>
      <c r="D134" s="62"/>
      <c r="E134" s="62"/>
      <c r="F134" s="62">
        <f>Fluxo_de_Caixa_Janeiro345[[#This Row],[ABRIL]]</f>
        <v>1800</v>
      </c>
      <c r="G134" s="62">
        <f>Fluxo_de_Caixa_Janeiro3459[[#This Row],[MAIO]]</f>
        <v>1800</v>
      </c>
      <c r="H134" s="62">
        <f>Fluxo_de_Caixa_Janeiro345911[[#This Row],[JUNHO]]</f>
        <v>0</v>
      </c>
      <c r="I134" s="35"/>
      <c r="J134" s="62"/>
      <c r="K134" s="62"/>
      <c r="L134" s="62"/>
      <c r="M134" s="62"/>
      <c r="N134" s="119"/>
      <c r="O134" s="224">
        <f>SUM(Fluxo_de_Caixa_Janeiro3102013[[#This Row],[Janeiro]:[Dezembro]])</f>
        <v>3600</v>
      </c>
      <c r="P134" s="194">
        <f t="shared" si="8"/>
        <v>2.0472314842228654E-3</v>
      </c>
      <c r="Q134" s="75">
        <v>0</v>
      </c>
      <c r="R134" s="32" t="str">
        <f>IF(Fluxo_de_Caixa_Janeiro3102013[[#This Row],[% ACUMULADO  2º SEMEST 2026]]&lt;=Fluxo_de_Caixa_Janeiro3102013[[#This Row],[Coluna1]],"VERDADEIRO","FALSO")</f>
        <v>FALSO</v>
      </c>
    </row>
    <row r="135" spans="1:18" x14ac:dyDescent="0.25">
      <c r="B135" s="55" t="str">
        <f>Fluxo_de_Caixa_Janeiro[[#This Row],[Fluxo de Caixa 2026 CTR]]</f>
        <v>3.3.04. Mensalidade Programa de Tecnologia Informatica</v>
      </c>
      <c r="C135" s="35"/>
      <c r="D135" s="62"/>
      <c r="E135" s="62"/>
      <c r="F135" s="62">
        <f>Fluxo_de_Caixa_Janeiro345[[#This Row],[ABRIL]]</f>
        <v>3481.52</v>
      </c>
      <c r="G135" s="62">
        <f>Fluxo_de_Caixa_Janeiro3459[[#This Row],[MAIO]]</f>
        <v>3481.52</v>
      </c>
      <c r="H135" s="62">
        <f>Fluxo_de_Caixa_Janeiro345911[[#This Row],[JUNHO]]</f>
        <v>0</v>
      </c>
      <c r="I135" s="35"/>
      <c r="J135" s="62"/>
      <c r="K135" s="62"/>
      <c r="L135" s="62"/>
      <c r="M135" s="62"/>
      <c r="N135" s="119"/>
      <c r="O135" s="224">
        <f>SUM(Fluxo_de_Caixa_Janeiro3102013[[#This Row],[Janeiro]:[Dezembro]])</f>
        <v>6963.04</v>
      </c>
      <c r="P135" s="194">
        <f t="shared" si="8"/>
        <v>3.9597096427508834E-3</v>
      </c>
      <c r="Q135" s="75">
        <v>2.9426583807106838E-3</v>
      </c>
      <c r="R135" s="32" t="str">
        <f>IF(Fluxo_de_Caixa_Janeiro3102013[[#This Row],[% ACUMULADO  2º SEMEST 2026]]&lt;=Fluxo_de_Caixa_Janeiro3102013[[#This Row],[Coluna1]],"VERDADEIRO","FALSO")</f>
        <v>FALSO</v>
      </c>
    </row>
    <row r="136" spans="1:18" x14ac:dyDescent="0.25">
      <c r="B136" s="55" t="str">
        <f>Fluxo_de_Caixa_Janeiro[[#This Row],[Fluxo de Caixa 2026 CTR]]</f>
        <v>3.3.05. MANUT E REPAROS EM EQUIPAME. INFORMATI</v>
      </c>
      <c r="C136" s="35"/>
      <c r="D136" s="62"/>
      <c r="E136" s="62"/>
      <c r="F136" s="62">
        <f>Fluxo_de_Caixa_Janeiro345[[#This Row],[ABRIL]]</f>
        <v>0</v>
      </c>
      <c r="G136" s="62">
        <f>Fluxo_de_Caixa_Janeiro3459[[#This Row],[MAIO]]</f>
        <v>0</v>
      </c>
      <c r="H136" s="62">
        <f>Fluxo_de_Caixa_Janeiro345911[[#This Row],[JUNHO]]</f>
        <v>0</v>
      </c>
      <c r="I136" s="35"/>
      <c r="J136" s="62"/>
      <c r="K136" s="62"/>
      <c r="L136" s="62"/>
      <c r="M136" s="62"/>
      <c r="N136" s="119"/>
      <c r="O136" s="224">
        <f>SUM(Fluxo_de_Caixa_Janeiro3102013[[#This Row],[Janeiro]:[Dezembro]])</f>
        <v>0</v>
      </c>
      <c r="P136" s="194">
        <f t="shared" si="8"/>
        <v>0</v>
      </c>
      <c r="Q136" s="75">
        <v>0</v>
      </c>
      <c r="R136" s="32" t="str">
        <f>IF(Fluxo_de_Caixa_Janeiro3102013[[#This Row],[% ACUMULADO  2º SEMEST 2026]]&lt;=Fluxo_de_Caixa_Janeiro3102013[[#This Row],[Coluna1]],"VERDADEIRO","FALSO")</f>
        <v>VERDADEIRO</v>
      </c>
    </row>
    <row r="137" spans="1:18" x14ac:dyDescent="0.25">
      <c r="B137" s="55" t="str">
        <f>Fluxo_de_Caixa_Janeiro[[#This Row],[Fluxo de Caixa 2026 CTR]]</f>
        <v>3.3.06. Manutenção Sitemas e Softwares</v>
      </c>
      <c r="C137" s="35"/>
      <c r="D137" s="62"/>
      <c r="E137" s="62"/>
      <c r="F137" s="62">
        <f>Fluxo_de_Caixa_Janeiro345[[#This Row],[ABRIL]]</f>
        <v>0</v>
      </c>
      <c r="G137" s="62">
        <f>Fluxo_de_Caixa_Janeiro3459[[#This Row],[MAIO]]</f>
        <v>0</v>
      </c>
      <c r="H137" s="62">
        <f>Fluxo_de_Caixa_Janeiro345911[[#This Row],[JUNHO]]</f>
        <v>0</v>
      </c>
      <c r="I137" s="35"/>
      <c r="J137" s="62"/>
      <c r="K137" s="62"/>
      <c r="L137" s="62"/>
      <c r="M137" s="62"/>
      <c r="N137" s="119"/>
      <c r="O137" s="224">
        <f>SUM(Fluxo_de_Caixa_Janeiro3102013[[#This Row],[Janeiro]:[Dezembro]])</f>
        <v>0</v>
      </c>
      <c r="P137" s="194">
        <f t="shared" si="8"/>
        <v>0</v>
      </c>
      <c r="Q137" s="75">
        <v>1.3726432448783998E-4</v>
      </c>
      <c r="R137" s="32" t="str">
        <f>IF(Fluxo_de_Caixa_Janeiro3102013[[#This Row],[% ACUMULADO  2º SEMEST 2026]]&lt;=Fluxo_de_Caixa_Janeiro3102013[[#This Row],[Coluna1]],"VERDADEIRO","FALSO")</f>
        <v>VERDADEIRO</v>
      </c>
    </row>
    <row r="138" spans="1:18" x14ac:dyDescent="0.25">
      <c r="B138" s="55" t="str">
        <f>Fluxo_de_Caixa_Janeiro[[#This Row],[Fluxo de Caixa 2026 CTR]]</f>
        <v>3.3.07. Locação Equipamento Informatica</v>
      </c>
      <c r="C138" s="35"/>
      <c r="D138" s="62"/>
      <c r="E138" s="62"/>
      <c r="F138" s="62">
        <f>Fluxo_de_Caixa_Janeiro345[[#This Row],[ABRIL]]</f>
        <v>0</v>
      </c>
      <c r="G138" s="62">
        <f>Fluxo_de_Caixa_Janeiro3459[[#This Row],[MAIO]]</f>
        <v>0</v>
      </c>
      <c r="H138" s="62">
        <f>Fluxo_de_Caixa_Janeiro345911[[#This Row],[JUNHO]]</f>
        <v>0</v>
      </c>
      <c r="I138" s="35"/>
      <c r="J138" s="62"/>
      <c r="K138" s="62"/>
      <c r="L138" s="62"/>
      <c r="M138" s="62"/>
      <c r="N138" s="119"/>
      <c r="O138" s="224">
        <f>SUM(Fluxo_de_Caixa_Janeiro3102013[[#This Row],[Janeiro]:[Dezembro]])</f>
        <v>0</v>
      </c>
      <c r="P138" s="194">
        <f t="shared" si="8"/>
        <v>0</v>
      </c>
      <c r="Q138" s="75">
        <v>0</v>
      </c>
      <c r="R138" s="32" t="str">
        <f>IF(Fluxo_de_Caixa_Janeiro3102013[[#This Row],[% ACUMULADO  2º SEMEST 2026]]&lt;=Fluxo_de_Caixa_Janeiro3102013[[#This Row],[Coluna1]],"VERDADEIRO","FALSO")</f>
        <v>VERDADEIRO</v>
      </c>
    </row>
    <row r="139" spans="1:18" x14ac:dyDescent="0.25">
      <c r="B139" s="55" t="str">
        <f>Fluxo_de_Caixa_Janeiro[[#This Row],[Fluxo de Caixa 2026 CTR]]</f>
        <v>3.3.08. Transmissão de Dados Servidor</v>
      </c>
      <c r="C139" s="35"/>
      <c r="D139" s="62"/>
      <c r="E139" s="62"/>
      <c r="F139" s="62">
        <f>Fluxo_de_Caixa_Janeiro345[[#This Row],[ABRIL]]</f>
        <v>0</v>
      </c>
      <c r="G139" s="62">
        <f>Fluxo_de_Caixa_Janeiro3459[[#This Row],[MAIO]]</f>
        <v>0</v>
      </c>
      <c r="H139" s="62">
        <f>Fluxo_de_Caixa_Janeiro345911[[#This Row],[JUNHO]]</f>
        <v>0</v>
      </c>
      <c r="I139" s="35"/>
      <c r="J139" s="62"/>
      <c r="K139" s="62"/>
      <c r="L139" s="62"/>
      <c r="M139" s="62"/>
      <c r="N139" s="119"/>
      <c r="O139" s="224">
        <f>SUM(Fluxo_de_Caixa_Janeiro3102013[[#This Row],[Janeiro]:[Dezembro]])</f>
        <v>0</v>
      </c>
      <c r="P139" s="194">
        <f t="shared" si="8"/>
        <v>0</v>
      </c>
      <c r="Q139" s="75">
        <v>0</v>
      </c>
      <c r="R139" s="32" t="str">
        <f>IF(Fluxo_de_Caixa_Janeiro3102013[[#This Row],[% ACUMULADO  2º SEMEST 2026]]&lt;=Fluxo_de_Caixa_Janeiro3102013[[#This Row],[Coluna1]],"VERDADEIRO","FALSO")</f>
        <v>VERDADEIRO</v>
      </c>
    </row>
    <row r="140" spans="1:18" ht="15.75" thickBot="1" x14ac:dyDescent="0.3">
      <c r="B140" s="55" t="str">
        <f>Fluxo_de_Caixa_Janeiro[[#This Row],[Fluxo de Caixa 2026 CTR]]</f>
        <v>3.3.09. Viagens e Estadias - CPD</v>
      </c>
      <c r="C140" s="35"/>
      <c r="D140" s="62"/>
      <c r="E140" s="62"/>
      <c r="F140" s="62">
        <f>Fluxo_de_Caixa_Janeiro345[[#This Row],[ABRIL]]</f>
        <v>0</v>
      </c>
      <c r="G140" s="62">
        <f>Fluxo_de_Caixa_Janeiro3459[[#This Row],[MAIO]]</f>
        <v>0</v>
      </c>
      <c r="H140" s="62">
        <f>Fluxo_de_Caixa_Janeiro345911[[#This Row],[JUNHO]]</f>
        <v>0</v>
      </c>
      <c r="I140" s="35"/>
      <c r="J140" s="62"/>
      <c r="K140" s="62"/>
      <c r="L140" s="62"/>
      <c r="M140" s="62"/>
      <c r="N140" s="119"/>
      <c r="O140" s="224">
        <f>SUM(Fluxo_de_Caixa_Janeiro3102013[[#This Row],[Janeiro]:[Dezembro]])</f>
        <v>0</v>
      </c>
      <c r="P140" s="194">
        <f t="shared" si="8"/>
        <v>0</v>
      </c>
      <c r="Q140" s="75">
        <v>0</v>
      </c>
      <c r="R140" s="32" t="str">
        <f>IF(Fluxo_de_Caixa_Janeiro3102013[[#This Row],[% ACUMULADO  2º SEMEST 2026]]&lt;=Fluxo_de_Caixa_Janeiro3102013[[#This Row],[Coluna1]],"VERDADEIRO","FALSO")</f>
        <v>VERDADEIRO</v>
      </c>
    </row>
    <row r="141" spans="1:18" hidden="1" x14ac:dyDescent="0.25">
      <c r="B141" s="55">
        <f>Fluxo_de_Caixa_Janeiro[[#This Row],[Fluxo de Caixa 2026 CTR]]</f>
        <v>0</v>
      </c>
      <c r="C141" s="35"/>
      <c r="D141" s="62"/>
      <c r="E141" s="62"/>
      <c r="F141" s="62">
        <f>Fluxo_de_Caixa_Janeiro345[[#This Row],[ABRIL]]</f>
        <v>0</v>
      </c>
      <c r="G141" s="62">
        <f>Fluxo_de_Caixa_Janeiro3459[[#This Row],[MAIO]]</f>
        <v>0</v>
      </c>
      <c r="H141" s="62">
        <f>Fluxo_de_Caixa_Janeiro345911[[#This Row],[JUNHO]]</f>
        <v>0</v>
      </c>
      <c r="I141" s="35"/>
      <c r="J141" s="62"/>
      <c r="K141" s="62"/>
      <c r="L141" s="62"/>
      <c r="M141" s="62"/>
      <c r="N141" s="119"/>
      <c r="O141" s="224">
        <f>SUM(Fluxo_de_Caixa_Janeiro3102013[[#This Row],[Janeiro]:[Dezembro]])</f>
        <v>0</v>
      </c>
      <c r="P141" s="194">
        <f t="shared" si="8"/>
        <v>0</v>
      </c>
      <c r="Q141" s="75">
        <v>0</v>
      </c>
      <c r="R141" s="32" t="str">
        <f>IF(Fluxo_de_Caixa_Janeiro3102013[[#This Row],[% ACUMULADO  2º SEMEST 2026]]&lt;=Fluxo_de_Caixa_Janeiro3102013[[#This Row],[Coluna1]],"VERDADEIRO","FALSO")</f>
        <v>VERDADEIRO</v>
      </c>
    </row>
    <row r="142" spans="1:18" hidden="1" x14ac:dyDescent="0.25">
      <c r="B142" s="55">
        <f>Fluxo_de_Caixa_Janeiro[[#This Row],[Fluxo de Caixa 2026 CTR]]</f>
        <v>0</v>
      </c>
      <c r="C142" s="35"/>
      <c r="D142" s="62"/>
      <c r="E142" s="62"/>
      <c r="F142" s="62">
        <f>Fluxo_de_Caixa_Janeiro345[[#This Row],[ABRIL]]</f>
        <v>0</v>
      </c>
      <c r="G142" s="62">
        <f>Fluxo_de_Caixa_Janeiro3459[[#This Row],[MAIO]]</f>
        <v>0</v>
      </c>
      <c r="H142" s="62">
        <f>Fluxo_de_Caixa_Janeiro345911[[#This Row],[JUNHO]]</f>
        <v>0</v>
      </c>
      <c r="I142" s="35"/>
      <c r="J142" s="62"/>
      <c r="K142" s="62"/>
      <c r="L142" s="62"/>
      <c r="M142" s="62"/>
      <c r="N142" s="119"/>
      <c r="O142" s="224">
        <f>SUM(Fluxo_de_Caixa_Janeiro3102013[[#This Row],[Janeiro]:[Dezembro]])</f>
        <v>0</v>
      </c>
      <c r="P142" s="194">
        <f t="shared" si="8"/>
        <v>0</v>
      </c>
      <c r="Q142" s="75">
        <v>0</v>
      </c>
      <c r="R142" s="32" t="str">
        <f>IF(Fluxo_de_Caixa_Janeiro3102013[[#This Row],[% ACUMULADO  2º SEMEST 2026]]&lt;=Fluxo_de_Caixa_Janeiro3102013[[#This Row],[Coluna1]],"VERDADEIRO","FALSO")</f>
        <v>VERDADEIRO</v>
      </c>
    </row>
    <row r="143" spans="1:18" hidden="1" x14ac:dyDescent="0.25">
      <c r="B143" s="55">
        <f>Fluxo_de_Caixa_Janeiro[[#This Row],[Fluxo de Caixa 2026 CTR]]</f>
        <v>0</v>
      </c>
      <c r="C143" s="35"/>
      <c r="D143" s="62"/>
      <c r="E143" s="62"/>
      <c r="F143" s="62">
        <f>Fluxo_de_Caixa_Janeiro345[[#This Row],[ABRIL]]</f>
        <v>0</v>
      </c>
      <c r="G143" s="62">
        <f>Fluxo_de_Caixa_Janeiro3459[[#This Row],[MAIO]]</f>
        <v>0</v>
      </c>
      <c r="H143" s="62">
        <f>Fluxo_de_Caixa_Janeiro345911[[#This Row],[JUNHO]]</f>
        <v>0</v>
      </c>
      <c r="I143" s="35"/>
      <c r="J143" s="62"/>
      <c r="K143" s="62"/>
      <c r="L143" s="62"/>
      <c r="M143" s="62"/>
      <c r="N143" s="119"/>
      <c r="O143" s="224">
        <f>SUM(Fluxo_de_Caixa_Janeiro3102013[[#This Row],[Janeiro]:[Dezembro]])</f>
        <v>0</v>
      </c>
      <c r="P143" s="194">
        <f t="shared" si="8"/>
        <v>0</v>
      </c>
      <c r="Q143" s="75">
        <v>0</v>
      </c>
      <c r="R143" s="32" t="str">
        <f>IF(Fluxo_de_Caixa_Janeiro3102013[[#This Row],[% ACUMULADO  2º SEMEST 2026]]&lt;=Fluxo_de_Caixa_Janeiro3102013[[#This Row],[Coluna1]],"VERDADEIRO","FALSO")</f>
        <v>VERDADEIRO</v>
      </c>
    </row>
    <row r="144" spans="1:18" ht="15.75" hidden="1" thickBot="1" x14ac:dyDescent="0.3">
      <c r="B144" s="55">
        <f>Fluxo_de_Caixa_Janeiro[[#This Row],[Fluxo de Caixa 2026 CTR]]</f>
        <v>0</v>
      </c>
      <c r="C144" s="35"/>
      <c r="D144" s="62"/>
      <c r="E144" s="62"/>
      <c r="F144" s="62">
        <f>Fluxo_de_Caixa_Janeiro345[[#This Row],[ABRIL]]</f>
        <v>0</v>
      </c>
      <c r="G144" s="62">
        <f>Fluxo_de_Caixa_Janeiro3459[[#This Row],[MAIO]]</f>
        <v>0</v>
      </c>
      <c r="H144" s="62">
        <f>Fluxo_de_Caixa_Janeiro345911[[#This Row],[JUNHO]]</f>
        <v>0</v>
      </c>
      <c r="I144" s="35"/>
      <c r="J144" s="62"/>
      <c r="K144" s="62"/>
      <c r="L144" s="62"/>
      <c r="M144" s="62"/>
      <c r="N144" s="119"/>
      <c r="O144" s="224">
        <f>SUM(Fluxo_de_Caixa_Janeiro3102013[[#This Row],[Janeiro]:[Dezembro]])</f>
        <v>0</v>
      </c>
      <c r="P144" s="194">
        <f t="shared" si="8"/>
        <v>0</v>
      </c>
      <c r="Q144" s="75">
        <v>0</v>
      </c>
      <c r="R144" s="32" t="str">
        <f>IF(Fluxo_de_Caixa_Janeiro3102013[[#This Row],[% ACUMULADO  2º SEMEST 2026]]&lt;=Fluxo_de_Caixa_Janeiro3102013[[#This Row],[Coluna1]],"VERDADEIRO","FALSO")</f>
        <v>VERDADEIRO</v>
      </c>
    </row>
    <row r="145" spans="2:18" ht="19.5" thickBot="1" x14ac:dyDescent="0.35">
      <c r="B145" s="277" t="str">
        <f>Fluxo_de_Caixa_Janeiro[[#This Row],[Fluxo de Caixa 2026 CTR]]</f>
        <v>3.4. ADMINISTRATIVAS</v>
      </c>
      <c r="C145" s="158"/>
      <c r="D145" s="97"/>
      <c r="E145" s="97"/>
      <c r="F145" s="97">
        <f>Fluxo_de_Caixa_Janeiro345[[#This Row],[ABRIL]]</f>
        <v>-29145.360000000001</v>
      </c>
      <c r="G145" s="97">
        <f>Fluxo_de_Caixa_Janeiro3459[[#This Row],[MAIO]]</f>
        <v>-11354.189999999999</v>
      </c>
      <c r="H145" s="97">
        <f>Fluxo_de_Caixa_Janeiro345911[[#This Row],[JUNHO]]</f>
        <v>0</v>
      </c>
      <c r="I145" s="158"/>
      <c r="J145" s="97"/>
      <c r="K145" s="97"/>
      <c r="L145" s="97"/>
      <c r="M145" s="97"/>
      <c r="N145" s="129"/>
      <c r="O145" s="226">
        <f>SUM(Fluxo_de_Caixa_Janeiro3102013[[#This Row],[Janeiro]:[Dezembro]])</f>
        <v>-40499.550000000003</v>
      </c>
      <c r="P145" s="144">
        <f>-IFERROR(O145/$O$27,"0,00")</f>
        <v>2.3031098293571708E-2</v>
      </c>
      <c r="Q145" s="98">
        <v>6.9011910070244306E-2</v>
      </c>
      <c r="R145" s="32" t="str">
        <f>IF(Fluxo_de_Caixa_Janeiro3102013[[#This Row],[% ACUMULADO  2º SEMEST 2026]]&lt;=Fluxo_de_Caixa_Janeiro3102013[[#This Row],[Coluna1]],"VERDADEIRO","FALSO")</f>
        <v>VERDADEIRO</v>
      </c>
    </row>
    <row r="146" spans="2:18" x14ac:dyDescent="0.25">
      <c r="B146" s="55" t="str">
        <f>Fluxo_de_Caixa_Janeiro[[#This Row],[Fluxo de Caixa 2026 CTR]]</f>
        <v>3.4.01. Supermercado/Padaria/Farmácia</v>
      </c>
      <c r="C146" s="35"/>
      <c r="D146" s="62"/>
      <c r="E146" s="62"/>
      <c r="F146" s="62">
        <f>Fluxo_de_Caixa_Janeiro345[[#This Row],[ABRIL]]</f>
        <v>1427.26</v>
      </c>
      <c r="G146" s="62">
        <f>Fluxo_de_Caixa_Janeiro3459[[#This Row],[MAIO]]</f>
        <v>2175.3900000000003</v>
      </c>
      <c r="H146" s="62">
        <f>Fluxo_de_Caixa_Janeiro345911[[#This Row],[JUNHO]]</f>
        <v>0</v>
      </c>
      <c r="I146" s="35"/>
      <c r="J146" s="62"/>
      <c r="K146" s="62"/>
      <c r="L146" s="62"/>
      <c r="M146" s="62"/>
      <c r="N146" s="119"/>
      <c r="O146" s="224">
        <f>SUM(Fluxo_de_Caixa_Janeiro3102013[[#This Row],[Janeiro]:[Dezembro]])</f>
        <v>3602.6500000000005</v>
      </c>
      <c r="P146" s="194">
        <f t="shared" ref="P146:P166" si="9">IFERROR(O146/$O$27,"0,00%")</f>
        <v>2.0487384740654185E-3</v>
      </c>
      <c r="Q146" s="75">
        <v>2.9318147282319448E-3</v>
      </c>
      <c r="R146" s="32" t="str">
        <f>IF(Fluxo_de_Caixa_Janeiro3102013[[#This Row],[% ACUMULADO  2º SEMEST 2026]]&lt;=Fluxo_de_Caixa_Janeiro3102013[[#This Row],[Coluna1]],"VERDADEIRO","FALSO")</f>
        <v>VERDADEIRO</v>
      </c>
    </row>
    <row r="147" spans="2:18" x14ac:dyDescent="0.25">
      <c r="B147" s="55" t="str">
        <f>Fluxo_de_Caixa_Janeiro[[#This Row],[Fluxo de Caixa 2026 CTR]]</f>
        <v>3.4.02. Material Administrativo de Expediente</v>
      </c>
      <c r="C147" s="35"/>
      <c r="D147" s="62"/>
      <c r="E147" s="62"/>
      <c r="F147" s="62">
        <f>Fluxo_de_Caixa_Janeiro345[[#This Row],[ABRIL]]</f>
        <v>1836.15</v>
      </c>
      <c r="G147" s="62">
        <f>Fluxo_de_Caixa_Janeiro3459[[#This Row],[MAIO]]</f>
        <v>412.99</v>
      </c>
      <c r="H147" s="62">
        <f>Fluxo_de_Caixa_Janeiro345911[[#This Row],[JUNHO]]</f>
        <v>0</v>
      </c>
      <c r="I147" s="35"/>
      <c r="J147" s="62"/>
      <c r="K147" s="62"/>
      <c r="L147" s="62"/>
      <c r="M147" s="62"/>
      <c r="N147" s="119"/>
      <c r="O147" s="224">
        <f>SUM(Fluxo_de_Caixa_Janeiro3102013[[#This Row],[Janeiro]:[Dezembro]])</f>
        <v>2249.1400000000003</v>
      </c>
      <c r="P147" s="194">
        <f t="shared" si="9"/>
        <v>1.2790306167847268E-3</v>
      </c>
      <c r="Q147" s="75">
        <v>6.6013828067629416E-4</v>
      </c>
      <c r="R147" s="32" t="str">
        <f>IF(Fluxo_de_Caixa_Janeiro3102013[[#This Row],[% ACUMULADO  2º SEMEST 2026]]&lt;=Fluxo_de_Caixa_Janeiro3102013[[#This Row],[Coluna1]],"VERDADEIRO","FALSO")</f>
        <v>FALSO</v>
      </c>
    </row>
    <row r="148" spans="2:18" x14ac:dyDescent="0.25">
      <c r="B148" s="55" t="str">
        <f>Fluxo_de_Caixa_Janeiro[[#This Row],[Fluxo de Caixa 2026 CTR]]</f>
        <v>3.4.03. Correios/Gollog/Latam Cargas</v>
      </c>
      <c r="C148" s="35"/>
      <c r="D148" s="62"/>
      <c r="E148" s="62"/>
      <c r="F148" s="62">
        <f>Fluxo_de_Caixa_Janeiro345[[#This Row],[ABRIL]]</f>
        <v>0</v>
      </c>
      <c r="G148" s="62">
        <f>Fluxo_de_Caixa_Janeiro3459[[#This Row],[MAIO]]</f>
        <v>0</v>
      </c>
      <c r="H148" s="62">
        <f>Fluxo_de_Caixa_Janeiro345911[[#This Row],[JUNHO]]</f>
        <v>0</v>
      </c>
      <c r="I148" s="35"/>
      <c r="J148" s="62"/>
      <c r="K148" s="62"/>
      <c r="L148" s="62"/>
      <c r="M148" s="62"/>
      <c r="N148" s="119"/>
      <c r="O148" s="224">
        <f>SUM(Fluxo_de_Caixa_Janeiro3102013[[#This Row],[Janeiro]:[Dezembro]])</f>
        <v>0</v>
      </c>
      <c r="P148" s="194">
        <f t="shared" si="9"/>
        <v>0</v>
      </c>
      <c r="Q148" s="75">
        <v>0</v>
      </c>
      <c r="R148" s="32" t="str">
        <f>IF(Fluxo_de_Caixa_Janeiro3102013[[#This Row],[% ACUMULADO  2º SEMEST 2026]]&lt;=Fluxo_de_Caixa_Janeiro3102013[[#This Row],[Coluna1]],"VERDADEIRO","FALSO")</f>
        <v>VERDADEIRO</v>
      </c>
    </row>
    <row r="149" spans="2:18" x14ac:dyDescent="0.25">
      <c r="B149" s="55" t="str">
        <f>Fluxo_de_Caixa_Janeiro[[#This Row],[Fluxo de Caixa 2026 CTR]]</f>
        <v>3.4.04. Cartório</v>
      </c>
      <c r="C149" s="35"/>
      <c r="D149" s="62"/>
      <c r="E149" s="62"/>
      <c r="F149" s="406">
        <f>Fluxo_de_Caixa_Janeiro345[[#This Row],[ABRIL]]</f>
        <v>0</v>
      </c>
      <c r="G149" s="62">
        <f>Fluxo_de_Caixa_Janeiro3459[[#This Row],[MAIO]]</f>
        <v>92.62</v>
      </c>
      <c r="H149" s="62">
        <f>Fluxo_de_Caixa_Janeiro345911[[#This Row],[JUNHO]]</f>
        <v>0</v>
      </c>
      <c r="I149" s="35"/>
      <c r="J149" s="62"/>
      <c r="K149" s="62"/>
      <c r="L149" s="62"/>
      <c r="M149" s="62"/>
      <c r="N149" s="119"/>
      <c r="O149" s="224">
        <f>SUM(Fluxo_de_Caixa_Janeiro3102013[[#This Row],[Janeiro]:[Dezembro]])</f>
        <v>92.62</v>
      </c>
      <c r="P149" s="194">
        <f t="shared" si="9"/>
        <v>5.2670716685756059E-5</v>
      </c>
      <c r="Q149" s="75">
        <v>2.9180007582673771E-2</v>
      </c>
      <c r="R149" s="32" t="str">
        <f>IF(Fluxo_de_Caixa_Janeiro3102013[[#This Row],[% ACUMULADO  2º SEMEST 2026]]&lt;=Fluxo_de_Caixa_Janeiro3102013[[#This Row],[Coluna1]],"VERDADEIRO","FALSO")</f>
        <v>VERDADEIRO</v>
      </c>
    </row>
    <row r="150" spans="2:18" hidden="1" x14ac:dyDescent="0.25">
      <c r="B150" s="55">
        <f>Fluxo_de_Caixa_Janeiro[[#This Row],[Fluxo de Caixa 2026 CTR]]</f>
        <v>0</v>
      </c>
      <c r="C150" s="35"/>
      <c r="D150" s="62"/>
      <c r="E150" s="62"/>
      <c r="F150" s="62">
        <f>Fluxo_de_Caixa_Janeiro345[[#This Row],[ABRIL]]</f>
        <v>441.4</v>
      </c>
      <c r="G150" s="62">
        <f>Fluxo_de_Caixa_Janeiro3459[[#This Row],[MAIO]]</f>
        <v>0</v>
      </c>
      <c r="H150" s="62">
        <f>Fluxo_de_Caixa_Janeiro345911[[#This Row],[JUNHO]]</f>
        <v>0</v>
      </c>
      <c r="I150" s="35"/>
      <c r="J150" s="62"/>
      <c r="K150" s="62"/>
      <c r="L150" s="62"/>
      <c r="M150" s="62"/>
      <c r="N150" s="119"/>
      <c r="O150" s="224">
        <f>SUM(Fluxo_de_Caixa_Janeiro3102013[[#This Row],[Janeiro]:[Dezembro]])</f>
        <v>441.4</v>
      </c>
      <c r="P150" s="194">
        <f t="shared" si="9"/>
        <v>2.5101332698221465E-4</v>
      </c>
      <c r="Q150" s="75">
        <v>0</v>
      </c>
      <c r="R150" s="32" t="str">
        <f>IF(Fluxo_de_Caixa_Janeiro3102013[[#This Row],[% ACUMULADO  2º SEMEST 2026]]&lt;=Fluxo_de_Caixa_Janeiro3102013[[#This Row],[Coluna1]],"VERDADEIRO","FALSO")</f>
        <v>FALSO</v>
      </c>
    </row>
    <row r="151" spans="2:18" x14ac:dyDescent="0.25">
      <c r="B151" s="55" t="str">
        <f>Fluxo_de_Caixa_Janeiro[[#This Row],[Fluxo de Caixa 2026 CTR]]</f>
        <v>3.4.06. Manutenção/ reforma/ reparos</v>
      </c>
      <c r="C151" s="35"/>
      <c r="D151" s="62"/>
      <c r="E151" s="62"/>
      <c r="F151" s="62">
        <f>Fluxo_de_Caixa_Janeiro345[[#This Row],[ABRIL]]</f>
        <v>738.8</v>
      </c>
      <c r="G151" s="62">
        <f>Fluxo_de_Caixa_Janeiro3459[[#This Row],[MAIO]]</f>
        <v>4490</v>
      </c>
      <c r="H151" s="62">
        <f>Fluxo_de_Caixa_Janeiro345911[[#This Row],[JUNHO]]</f>
        <v>0</v>
      </c>
      <c r="I151" s="35"/>
      <c r="J151" s="62"/>
      <c r="K151" s="62"/>
      <c r="L151" s="62"/>
      <c r="M151" s="62"/>
      <c r="N151" s="119"/>
      <c r="O151" s="224">
        <f>SUM(Fluxo_de_Caixa_Janeiro3102013[[#This Row],[Janeiro]:[Dezembro]])</f>
        <v>5228.8</v>
      </c>
      <c r="P151" s="194">
        <f t="shared" si="9"/>
        <v>2.9734899957512555E-3</v>
      </c>
      <c r="Q151" s="75">
        <v>6.8679826650419943E-4</v>
      </c>
      <c r="R151" s="32" t="str">
        <f>IF(Fluxo_de_Caixa_Janeiro3102013[[#This Row],[% ACUMULADO  2º SEMEST 2026]]&lt;=Fluxo_de_Caixa_Janeiro3102013[[#This Row],[Coluna1]],"VERDADEIRO","FALSO")</f>
        <v>FALSO</v>
      </c>
    </row>
    <row r="152" spans="2:18" x14ac:dyDescent="0.25">
      <c r="B152" s="55" t="str">
        <f>Fluxo_de_Caixa_Janeiro[[#This Row],[Fluxo de Caixa 2026 CTR]]</f>
        <v>3.4.07. Diária de Prestador de Serviço</v>
      </c>
      <c r="C152" s="35"/>
      <c r="D152" s="62"/>
      <c r="E152" s="62"/>
      <c r="F152" s="62">
        <f>Fluxo_de_Caixa_Janeiro345[[#This Row],[ABRIL]]</f>
        <v>2465</v>
      </c>
      <c r="G152" s="62">
        <f>Fluxo_de_Caixa_Janeiro3459[[#This Row],[MAIO]]</f>
        <v>1500</v>
      </c>
      <c r="H152" s="62">
        <f>Fluxo_de_Caixa_Janeiro345911[[#This Row],[JUNHO]]</f>
        <v>0</v>
      </c>
      <c r="I152" s="35"/>
      <c r="J152" s="62"/>
      <c r="K152" s="62"/>
      <c r="L152" s="62"/>
      <c r="M152" s="62"/>
      <c r="N152" s="119"/>
      <c r="O152" s="224">
        <f>SUM(Fluxo_de_Caixa_Janeiro3102013[[#This Row],[Janeiro]:[Dezembro]])</f>
        <v>3965</v>
      </c>
      <c r="P152" s="194">
        <f t="shared" si="9"/>
        <v>2.2547980097065725E-3</v>
      </c>
      <c r="Q152" s="75">
        <v>8.428350341674048E-4</v>
      </c>
      <c r="R152" s="32" t="str">
        <f>IF(Fluxo_de_Caixa_Janeiro3102013[[#This Row],[% ACUMULADO  2º SEMEST 2026]]&lt;=Fluxo_de_Caixa_Janeiro3102013[[#This Row],[Coluna1]],"VERDADEIRO","FALSO")</f>
        <v>FALSO</v>
      </c>
    </row>
    <row r="153" spans="2:18" x14ac:dyDescent="0.25">
      <c r="B153" s="169" t="str">
        <f>Fluxo_de_Caixa_Janeiro[[#This Row],[Fluxo de Caixa 2026 CTR]]</f>
        <v>3.4.08. Consultoria (RH/Empresarial/Contábil/Etc)</v>
      </c>
      <c r="C153" s="41"/>
      <c r="D153" s="81"/>
      <c r="E153" s="81"/>
      <c r="F153" s="81">
        <f>Fluxo_de_Caixa_Janeiro345[[#This Row],[ABRIL]]</f>
        <v>2600</v>
      </c>
      <c r="G153" s="81">
        <f>Fluxo_de_Caixa_Janeiro3459[[#This Row],[MAIO]]</f>
        <v>1250</v>
      </c>
      <c r="H153" s="81">
        <f>Fluxo_de_Caixa_Janeiro345911[[#This Row],[JUNHO]]</f>
        <v>0</v>
      </c>
      <c r="I153" s="41"/>
      <c r="J153" s="81"/>
      <c r="K153" s="81"/>
      <c r="L153" s="81"/>
      <c r="M153" s="81"/>
      <c r="N153" s="118"/>
      <c r="O153" s="223">
        <f>SUM(Fluxo_de_Caixa_Janeiro3102013[[#This Row],[Janeiro]:[Dezembro]])</f>
        <v>3850</v>
      </c>
      <c r="P153" s="193">
        <f t="shared" si="9"/>
        <v>2.1894003372938979E-3</v>
      </c>
      <c r="Q153" s="93">
        <v>6.8746740144160264E-3</v>
      </c>
      <c r="R153" s="32" t="str">
        <f>IF(Fluxo_de_Caixa_Janeiro3102013[[#This Row],[% ACUMULADO  2º SEMEST 2026]]&lt;=Fluxo_de_Caixa_Janeiro3102013[[#This Row],[Coluna1]],"VERDADEIRO","FALSO")</f>
        <v>VERDADEIRO</v>
      </c>
    </row>
    <row r="154" spans="2:18" x14ac:dyDescent="0.25">
      <c r="B154" s="55" t="str">
        <f>Fluxo_de_Caixa_Janeiro[[#This Row],[Fluxo de Caixa 2026 CTR]]</f>
        <v>3.4.09. Honorarios Advogado</v>
      </c>
      <c r="C154" s="35"/>
      <c r="D154" s="62"/>
      <c r="E154" s="62"/>
      <c r="F154" s="62">
        <f>Fluxo_de_Caixa_Janeiro345[[#This Row],[ABRIL]]</f>
        <v>5642</v>
      </c>
      <c r="G154" s="62">
        <f>Fluxo_de_Caixa_Janeiro3459[[#This Row],[MAIO]]</f>
        <v>5642</v>
      </c>
      <c r="H154" s="62">
        <f>Fluxo_de_Caixa_Janeiro345911[[#This Row],[JUNHO]]</f>
        <v>0</v>
      </c>
      <c r="I154" s="35"/>
      <c r="J154" s="62"/>
      <c r="K154" s="62"/>
      <c r="L154" s="62"/>
      <c r="M154" s="62"/>
      <c r="N154" s="119"/>
      <c r="O154" s="224">
        <f>SUM(Fluxo_de_Caixa_Janeiro3102013[[#This Row],[Janeiro]:[Dezembro]])</f>
        <v>11284</v>
      </c>
      <c r="P154" s="194">
        <f t="shared" si="9"/>
        <v>6.4169333522141152E-3</v>
      </c>
      <c r="Q154" s="75">
        <v>3.908884647204838E-3</v>
      </c>
      <c r="R154" s="32" t="str">
        <f>IF(Fluxo_de_Caixa_Janeiro3102013[[#This Row],[% ACUMULADO  2º SEMEST 2026]]&lt;=Fluxo_de_Caixa_Janeiro3102013[[#This Row],[Coluna1]],"VERDADEIRO","FALSO")</f>
        <v>FALSO</v>
      </c>
    </row>
    <row r="155" spans="2:18" x14ac:dyDescent="0.25">
      <c r="B155" s="55" t="str">
        <f>Fluxo_de_Caixa_Janeiro[[#This Row],[Fluxo de Caixa 2026 CTR]]</f>
        <v>3.4.10. Taxas Administrativas (Alvará de Funcio, taxas)</v>
      </c>
      <c r="C155" s="35"/>
      <c r="D155" s="62"/>
      <c r="E155" s="62"/>
      <c r="F155" s="62">
        <f>Fluxo_de_Caixa_Janeiro345[[#This Row],[ABRIL]]</f>
        <v>88.64</v>
      </c>
      <c r="G155" s="62">
        <f>Fluxo_de_Caixa_Janeiro3459[[#This Row],[MAIO]]</f>
        <v>1974.21</v>
      </c>
      <c r="H155" s="62">
        <f>Fluxo_de_Caixa_Janeiro345911[[#This Row],[JUNHO]]</f>
        <v>0</v>
      </c>
      <c r="I155" s="35"/>
      <c r="J155" s="62"/>
      <c r="K155" s="62"/>
      <c r="L155" s="62"/>
      <c r="M155" s="62"/>
      <c r="N155" s="119"/>
      <c r="O155" s="224">
        <f>SUM(Fluxo_de_Caixa_Janeiro3102013[[#This Row],[Janeiro]:[Dezembro]])</f>
        <v>2062.85</v>
      </c>
      <c r="P155" s="194">
        <f t="shared" si="9"/>
        <v>1.173092074230316E-3</v>
      </c>
      <c r="Q155" s="75">
        <v>0</v>
      </c>
      <c r="R155" s="32" t="str">
        <f>IF(Fluxo_de_Caixa_Janeiro3102013[[#This Row],[% ACUMULADO  2º SEMEST 2026]]&lt;=Fluxo_de_Caixa_Janeiro3102013[[#This Row],[Coluna1]],"VERDADEIRO","FALSO")</f>
        <v>FALSO</v>
      </c>
    </row>
    <row r="156" spans="2:18" x14ac:dyDescent="0.25">
      <c r="B156" s="55" t="str">
        <f>Fluxo_de_Caixa_Janeiro[[#This Row],[Fluxo de Caixa 2026 CTR]]</f>
        <v>3.4.11. Despesa com Processos Judiciais</v>
      </c>
      <c r="C156" s="35"/>
      <c r="D156" s="62"/>
      <c r="E156" s="62"/>
      <c r="F156" s="62">
        <f>Fluxo_de_Caixa_Janeiro345[[#This Row],[ABRIL]]</f>
        <v>0</v>
      </c>
      <c r="G156" s="62">
        <f>Fluxo_de_Caixa_Janeiro3459[[#This Row],[MAIO]]</f>
        <v>155.38999999999999</v>
      </c>
      <c r="H156" s="62">
        <f>Fluxo_de_Caixa_Janeiro345911[[#This Row],[JUNHO]]</f>
        <v>0</v>
      </c>
      <c r="I156" s="35"/>
      <c r="J156" s="62"/>
      <c r="K156" s="62"/>
      <c r="L156" s="62"/>
      <c r="M156" s="62"/>
      <c r="N156" s="119"/>
      <c r="O156" s="224">
        <f>SUM(Fluxo_de_Caixa_Janeiro3102013[[#This Row],[Janeiro]:[Dezembro]])</f>
        <v>155.38999999999999</v>
      </c>
      <c r="P156" s="194">
        <f t="shared" si="9"/>
        <v>8.8366472314830842E-5</v>
      </c>
      <c r="Q156" s="75">
        <v>0</v>
      </c>
      <c r="R156" s="32" t="str">
        <f>IF(Fluxo_de_Caixa_Janeiro3102013[[#This Row],[% ACUMULADO  2º SEMEST 2026]]&lt;=Fluxo_de_Caixa_Janeiro3102013[[#This Row],[Coluna1]],"VERDADEIRO","FALSO")</f>
        <v>FALSO</v>
      </c>
    </row>
    <row r="157" spans="2:18" x14ac:dyDescent="0.25">
      <c r="B157" s="55" t="str">
        <f>Fluxo_de_Caixa_Janeiro[[#This Row],[Fluxo de Caixa 2026 CTR]]</f>
        <v xml:space="preserve">3.4.12. Equipe de Cobrança </v>
      </c>
      <c r="C157" s="35"/>
      <c r="D157" s="62"/>
      <c r="E157" s="62"/>
      <c r="F157" s="62">
        <f>Fluxo_de_Caixa_Janeiro345[[#This Row],[ABRIL]]</f>
        <v>0</v>
      </c>
      <c r="G157" s="62">
        <f>Fluxo_de_Caixa_Janeiro3459[[#This Row],[MAIO]]</f>
        <v>0</v>
      </c>
      <c r="H157" s="62">
        <f>Fluxo_de_Caixa_Janeiro345911[[#This Row],[JUNHO]]</f>
        <v>0</v>
      </c>
      <c r="I157" s="35"/>
      <c r="J157" s="62"/>
      <c r="K157" s="62"/>
      <c r="L157" s="62"/>
      <c r="M157" s="62"/>
      <c r="N157" s="119"/>
      <c r="O157" s="224">
        <f>SUM(Fluxo_de_Caixa_Janeiro3102013[[#This Row],[Janeiro]:[Dezembro]])</f>
        <v>0</v>
      </c>
      <c r="P157" s="194">
        <f t="shared" si="9"/>
        <v>0</v>
      </c>
      <c r="Q157" s="75">
        <v>0</v>
      </c>
      <c r="R157" s="32" t="str">
        <f>IF(Fluxo_de_Caixa_Janeiro3102013[[#This Row],[% ACUMULADO  2º SEMEST 2026]]&lt;=Fluxo_de_Caixa_Janeiro3102013[[#This Row],[Coluna1]],"VERDADEIRO","FALSO")</f>
        <v>VERDADEIRO</v>
      </c>
    </row>
    <row r="158" spans="2:18" x14ac:dyDescent="0.25">
      <c r="B158" s="55" t="str">
        <f>Fluxo_de_Caixa_Janeiro[[#This Row],[Fluxo de Caixa 2026 CTR]]</f>
        <v>3.4.13. Seguradora Predial / Equipamento</v>
      </c>
      <c r="C158" s="35"/>
      <c r="D158" s="62"/>
      <c r="E158" s="62"/>
      <c r="F158" s="62">
        <f>Fluxo_de_Caixa_Janeiro345[[#This Row],[ABRIL]]</f>
        <v>601</v>
      </c>
      <c r="G158" s="62">
        <f>Fluxo_de_Caixa_Janeiro3459[[#This Row],[MAIO]]</f>
        <v>594.4</v>
      </c>
      <c r="H158" s="62">
        <f>Fluxo_de_Caixa_Janeiro345911[[#This Row],[JUNHO]]</f>
        <v>0</v>
      </c>
      <c r="I158" s="35"/>
      <c r="J158" s="62"/>
      <c r="K158" s="62"/>
      <c r="L158" s="62"/>
      <c r="M158" s="62"/>
      <c r="N158" s="119"/>
      <c r="O158" s="224">
        <f>SUM(Fluxo_de_Caixa_Janeiro3102013[[#This Row],[Janeiro]:[Dezembro]])</f>
        <v>1195.4000000000001</v>
      </c>
      <c r="P158" s="194">
        <f t="shared" si="9"/>
        <v>6.797945878444482E-4</v>
      </c>
      <c r="Q158" s="75">
        <v>0</v>
      </c>
      <c r="R158" s="32" t="str">
        <f>IF(Fluxo_de_Caixa_Janeiro3102013[[#This Row],[% ACUMULADO  2º SEMEST 2026]]&lt;=Fluxo_de_Caixa_Janeiro3102013[[#This Row],[Coluna1]],"VERDADEIRO","FALSO")</f>
        <v>FALSO</v>
      </c>
    </row>
    <row r="159" spans="2:18" x14ac:dyDescent="0.25">
      <c r="B159" s="55" t="str">
        <f>Fluxo_de_Caixa_Janeiro[[#This Row],[Fluxo de Caixa 2026 CTR]]</f>
        <v>3.4.14. Consulta de crédito SPC/Serasa</v>
      </c>
      <c r="C159" s="35"/>
      <c r="D159" s="62"/>
      <c r="E159" s="62"/>
      <c r="F159" s="62">
        <f>Fluxo_de_Caixa_Janeiro345[[#This Row],[ABRIL]]</f>
        <v>794.25</v>
      </c>
      <c r="G159" s="62">
        <f>Fluxo_de_Caixa_Janeiro3459[[#This Row],[MAIO]]</f>
        <v>794.25</v>
      </c>
      <c r="H159" s="62">
        <f>Fluxo_de_Caixa_Janeiro345911[[#This Row],[JUNHO]]</f>
        <v>0</v>
      </c>
      <c r="I159" s="35"/>
      <c r="J159" s="62"/>
      <c r="K159" s="62"/>
      <c r="L159" s="62"/>
      <c r="M159" s="62"/>
      <c r="N159" s="119"/>
      <c r="O159" s="224">
        <f>SUM(Fluxo_de_Caixa_Janeiro3102013[[#This Row],[Janeiro]:[Dezembro]])</f>
        <v>1588.5</v>
      </c>
      <c r="P159" s="194">
        <f t="shared" si="9"/>
        <v>9.0334089241333939E-4</v>
      </c>
      <c r="Q159" s="75">
        <v>2.7514278652096774E-4</v>
      </c>
      <c r="R159" s="32" t="str">
        <f>IF(Fluxo_de_Caixa_Janeiro3102013[[#This Row],[% ACUMULADO  2º SEMEST 2026]]&lt;=Fluxo_de_Caixa_Janeiro3102013[[#This Row],[Coluna1]],"VERDADEIRO","FALSO")</f>
        <v>FALSO</v>
      </c>
    </row>
    <row r="160" spans="2:18" x14ac:dyDescent="0.25">
      <c r="B160" s="55" t="str">
        <f>Fluxo_de_Caixa_Janeiro[[#This Row],[Fluxo de Caixa 2026 CTR]]</f>
        <v>3.4.15. Frete Compra de Material Uso e Consumo</v>
      </c>
      <c r="C160" s="35"/>
      <c r="D160" s="62"/>
      <c r="E160" s="62"/>
      <c r="F160" s="62">
        <f>Fluxo_de_Caixa_Janeiro345[[#This Row],[ABRIL]]</f>
        <v>0</v>
      </c>
      <c r="G160" s="62">
        <f>Fluxo_de_Caixa_Janeiro3459[[#This Row],[MAIO]]</f>
        <v>0</v>
      </c>
      <c r="H160" s="62">
        <f>Fluxo_de_Caixa_Janeiro345911[[#This Row],[JUNHO]]</f>
        <v>0</v>
      </c>
      <c r="I160" s="35"/>
      <c r="J160" s="62"/>
      <c r="K160" s="62"/>
      <c r="L160" s="62"/>
      <c r="M160" s="62"/>
      <c r="N160" s="397"/>
      <c r="O160" s="224">
        <f>SUM(Fluxo_de_Caixa_Janeiro3102013[[#This Row],[Janeiro]:[Dezembro]])</f>
        <v>0</v>
      </c>
      <c r="P160" s="194">
        <f t="shared" si="9"/>
        <v>0</v>
      </c>
      <c r="Q160" s="75">
        <v>1.2007763945179992E-4</v>
      </c>
      <c r="R160" s="32" t="str">
        <f>IF(Fluxo_de_Caixa_Janeiro3102013[[#This Row],[% ACUMULADO  2º SEMEST 2026]]&lt;=Fluxo_de_Caixa_Janeiro3102013[[#This Row],[Coluna1]],"VERDADEIRO","FALSO")</f>
        <v>VERDADEIRO</v>
      </c>
    </row>
    <row r="161" spans="1:18" x14ac:dyDescent="0.25">
      <c r="B161" s="55" t="str">
        <f>Fluxo_de_Caixa_Janeiro[[#This Row],[Fluxo de Caixa 2026 CTR]]</f>
        <v xml:space="preserve">3.4.16. Pro labore </v>
      </c>
      <c r="C161" s="35"/>
      <c r="D161" s="62"/>
      <c r="E161" s="62"/>
      <c r="F161" s="62">
        <f>Fluxo_de_Caixa_Janeiro345[[#This Row],[ABRIL]]</f>
        <v>17831</v>
      </c>
      <c r="G161" s="62">
        <f>Fluxo_de_Caixa_Janeiro3459[[#This Row],[MAIO]]</f>
        <v>17831</v>
      </c>
      <c r="H161" s="62">
        <f>Fluxo_de_Caixa_Janeiro345911[[#This Row],[JUNHO]]</f>
        <v>0</v>
      </c>
      <c r="I161" s="35"/>
      <c r="J161" s="62"/>
      <c r="K161" s="62"/>
      <c r="L161" s="62"/>
      <c r="M161" s="62"/>
      <c r="N161" s="119"/>
      <c r="O161" s="224">
        <f>SUM(Fluxo_de_Caixa_Janeiro3102013[[#This Row],[Janeiro]:[Dezembro]])</f>
        <v>35662</v>
      </c>
      <c r="P161" s="194">
        <f t="shared" si="9"/>
        <v>2.0280102552876617E-2</v>
      </c>
      <c r="Q161" s="75">
        <v>2.0440697402863649E-2</v>
      </c>
      <c r="R161" s="32" t="str">
        <f>IF(Fluxo_de_Caixa_Janeiro3102013[[#This Row],[% ACUMULADO  2º SEMEST 2026]]&lt;=Fluxo_de_Caixa_Janeiro3102013[[#This Row],[Coluna1]],"VERDADEIRO","FALSO")</f>
        <v>VERDADEIRO</v>
      </c>
    </row>
    <row r="162" spans="1:18" x14ac:dyDescent="0.25">
      <c r="B162" s="55" t="str">
        <f>Fluxo_de_Caixa_Janeiro[[#This Row],[Fluxo de Caixa 2026 CTR]]</f>
        <v>3.4.17. Multas Administrativas e trabalhistas</v>
      </c>
      <c r="C162" s="35"/>
      <c r="D162" s="62"/>
      <c r="E162" s="62"/>
      <c r="F162" s="62">
        <f>Fluxo_de_Caixa_Janeiro345[[#This Row],[ABRIL]]</f>
        <v>0</v>
      </c>
      <c r="G162" s="62">
        <f>Fluxo_de_Caixa_Janeiro3459[[#This Row],[MAIO]]</f>
        <v>0</v>
      </c>
      <c r="H162" s="62">
        <f>Fluxo_de_Caixa_Janeiro345911[[#This Row],[JUNHO]]</f>
        <v>0</v>
      </c>
      <c r="I162" s="35"/>
      <c r="J162" s="62"/>
      <c r="K162" s="62"/>
      <c r="L162" s="62"/>
      <c r="M162" s="62"/>
      <c r="N162" s="119"/>
      <c r="O162" s="224">
        <f>SUM(Fluxo_de_Caixa_Janeiro3102013[[#This Row],[Janeiro]:[Dezembro]])</f>
        <v>0</v>
      </c>
      <c r="P162" s="194">
        <f t="shared" si="9"/>
        <v>0</v>
      </c>
      <c r="Q162" s="75">
        <v>0</v>
      </c>
      <c r="R162" s="32" t="str">
        <f>IF(Fluxo_de_Caixa_Janeiro3102013[[#This Row],[% ACUMULADO  2º SEMEST 2026]]&lt;=Fluxo_de_Caixa_Janeiro3102013[[#This Row],[Coluna1]],"VERDADEIRO","FALSO")</f>
        <v>VERDADEIRO</v>
      </c>
    </row>
    <row r="163" spans="1:18" x14ac:dyDescent="0.25">
      <c r="B163" s="55" t="str">
        <f>Fluxo_de_Caixa_Janeiro[[#This Row],[Fluxo de Caixa 2026 CTR]]</f>
        <v>3.4.18. Seguro Prestamista - Variavel (Emprestimo)</v>
      </c>
      <c r="C163" s="35"/>
      <c r="D163" s="62"/>
      <c r="E163" s="62"/>
      <c r="F163" s="62">
        <f>Fluxo_de_Caixa_Janeiro345[[#This Row],[ABRIL]]</f>
        <v>-4878.74</v>
      </c>
      <c r="G163" s="62">
        <f>Fluxo_de_Caixa_Janeiro3459[[#This Row],[MAIO]]</f>
        <v>-25558.06</v>
      </c>
      <c r="H163" s="62">
        <f>Fluxo_de_Caixa_Janeiro345911[[#This Row],[JUNHO]]</f>
        <v>0</v>
      </c>
      <c r="I163" s="35"/>
      <c r="J163" s="62"/>
      <c r="K163" s="62"/>
      <c r="L163" s="62"/>
      <c r="M163" s="62"/>
      <c r="N163" s="119"/>
      <c r="O163" s="224">
        <f>SUM(Fluxo_de_Caixa_Janeiro3102013[[#This Row],[Janeiro]:[Dezembro]])</f>
        <v>-30436.800000000003</v>
      </c>
      <c r="P163" s="194">
        <f t="shared" si="9"/>
        <v>-1.7308659788609588E-2</v>
      </c>
      <c r="Q163" s="75">
        <v>0</v>
      </c>
      <c r="R163" s="32" t="str">
        <f>IF(Fluxo_de_Caixa_Janeiro3102013[[#This Row],[% ACUMULADO  2º SEMEST 2026]]&lt;=Fluxo_de_Caixa_Janeiro3102013[[#This Row],[Coluna1]],"VERDADEIRO","FALSO")</f>
        <v>VERDADEIRO</v>
      </c>
    </row>
    <row r="164" spans="1:18" x14ac:dyDescent="0.25">
      <c r="B164" s="55" t="str">
        <f>Fluxo_de_Caixa_Janeiro[[#This Row],[Fluxo de Caixa 2026 CTR]]</f>
        <v>3.4.19. Contribuições e Doações</v>
      </c>
      <c r="C164" s="35"/>
      <c r="D164" s="62"/>
      <c r="E164" s="62"/>
      <c r="F164" s="62">
        <f>Fluxo_de_Caixa_Janeiro345[[#This Row],[ABRIL]]</f>
        <v>0</v>
      </c>
      <c r="G164" s="62">
        <f>Fluxo_de_Caixa_Janeiro3459[[#This Row],[MAIO]]</f>
        <v>0</v>
      </c>
      <c r="H164" s="62">
        <f>Fluxo_de_Caixa_Janeiro345911[[#This Row],[JUNHO]]</f>
        <v>0</v>
      </c>
      <c r="I164" s="35"/>
      <c r="J164" s="62"/>
      <c r="K164" s="62"/>
      <c r="L164" s="62"/>
      <c r="M164" s="62"/>
      <c r="N164" s="119"/>
      <c r="O164" s="224">
        <f>SUM(Fluxo_de_Caixa_Janeiro3102013[[#This Row],[Janeiro]:[Dezembro]])</f>
        <v>0</v>
      </c>
      <c r="P164" s="194">
        <f t="shared" si="9"/>
        <v>0</v>
      </c>
      <c r="Q164" s="75">
        <v>2.9259850046677205E-3</v>
      </c>
      <c r="R164" s="32" t="str">
        <f>IF(Fluxo_de_Caixa_Janeiro3102013[[#This Row],[% ACUMULADO  2º SEMEST 2026]]&lt;=Fluxo_de_Caixa_Janeiro3102013[[#This Row],[Coluna1]],"VERDADEIRO","FALSO")</f>
        <v>VERDADEIRO</v>
      </c>
    </row>
    <row r="165" spans="1:18" ht="15.75" thickBot="1" x14ac:dyDescent="0.3">
      <c r="B165" s="55" t="str">
        <f>Fluxo_de_Caixa_Janeiro[[#This Row],[Fluxo de Caixa 2026 CTR]]</f>
        <v>3.4.20. Aquisi. Equipam. ADM não Imobilizavel</v>
      </c>
      <c r="C165" s="35"/>
      <c r="D165" s="62"/>
      <c r="E165" s="62"/>
      <c r="F165" s="62">
        <f>Fluxo_de_Caixa_Janeiro345[[#This Row],[ABRIL]]</f>
        <v>0</v>
      </c>
      <c r="G165" s="62">
        <f>Fluxo_de_Caixa_Janeiro3459[[#This Row],[MAIO]]</f>
        <v>0</v>
      </c>
      <c r="H165" s="62">
        <f>Fluxo_de_Caixa_Janeiro345911[[#This Row],[JUNHO]]</f>
        <v>0</v>
      </c>
      <c r="I165" s="35"/>
      <c r="J165" s="62"/>
      <c r="K165" s="62"/>
      <c r="L165" s="62"/>
      <c r="M165" s="62"/>
      <c r="N165" s="119"/>
      <c r="O165" s="224">
        <f>SUM(Fluxo_de_Caixa_Janeiro3102013[[#This Row],[Janeiro]:[Dezembro]])</f>
        <v>0</v>
      </c>
      <c r="P165" s="194">
        <f t="shared" si="9"/>
        <v>0</v>
      </c>
      <c r="Q165" s="75">
        <v>1.6485468286569631E-4</v>
      </c>
      <c r="R165" s="32" t="str">
        <f>IF(Fluxo_de_Caixa_Janeiro3102013[[#This Row],[% ACUMULADO  2º SEMEST 2026]]&lt;=Fluxo_de_Caixa_Janeiro3102013[[#This Row],[Coluna1]],"VERDADEIRO","FALSO")</f>
        <v>VERDADEIRO</v>
      </c>
    </row>
    <row r="166" spans="1:18" ht="15.75" hidden="1" thickBot="1" x14ac:dyDescent="0.3">
      <c r="B166" s="276">
        <f>Fluxo_de_Caixa_Janeiro[[#This Row],[Fluxo de Caixa 2026 CTR]]</f>
        <v>0</v>
      </c>
      <c r="C166" s="36"/>
      <c r="D166" s="82"/>
      <c r="E166" s="82"/>
      <c r="F166" s="82">
        <f>Fluxo_de_Caixa_Janeiro345[[#This Row],[ABRIL]]</f>
        <v>0</v>
      </c>
      <c r="G166" s="82">
        <f>Fluxo_de_Caixa_Janeiro3459[[#This Row],[MAIO]]</f>
        <v>0</v>
      </c>
      <c r="H166" s="82">
        <f>Fluxo_de_Caixa_Janeiro345911[[#This Row],[JUNHO]]</f>
        <v>0</v>
      </c>
      <c r="I166" s="36"/>
      <c r="J166" s="82"/>
      <c r="K166" s="82"/>
      <c r="L166" s="82"/>
      <c r="M166" s="82"/>
      <c r="N166" s="120"/>
      <c r="O166" s="225">
        <f>SUM(Fluxo_de_Caixa_Janeiro3102013[[#This Row],[Janeiro]:[Dezembro]])</f>
        <v>0</v>
      </c>
      <c r="P166" s="195">
        <f t="shared" si="9"/>
        <v>0</v>
      </c>
      <c r="Q166" s="96">
        <v>0</v>
      </c>
      <c r="R166" s="32" t="str">
        <f>IF(Fluxo_de_Caixa_Janeiro3102013[[#This Row],[% ACUMULADO  2º SEMEST 2026]]&lt;=Fluxo_de_Caixa_Janeiro3102013[[#This Row],[Coluna1]],"VERDADEIRO","FALSO")</f>
        <v>VERDADEIRO</v>
      </c>
    </row>
    <row r="167" spans="1:18" ht="19.5" thickBot="1" x14ac:dyDescent="0.35">
      <c r="A167" s="15" t="s">
        <v>6</v>
      </c>
      <c r="B167" s="168" t="str">
        <f>Fluxo_de_Caixa_Janeiro[[#This Row],[Fluxo de Caixa 2026 CTR]]</f>
        <v>3.5. DESPESAS FIXAS</v>
      </c>
      <c r="C167" s="158"/>
      <c r="D167" s="97"/>
      <c r="E167" s="97"/>
      <c r="F167" s="97">
        <f>Fluxo_de_Caixa_Janeiro345[[#This Row],[ABRIL]]</f>
        <v>-30223.229999999996</v>
      </c>
      <c r="G167" s="97">
        <f>Fluxo_de_Caixa_Janeiro3459[[#This Row],[MAIO]]</f>
        <v>-29705.439999999999</v>
      </c>
      <c r="H167" s="97">
        <f>Fluxo_de_Caixa_Janeiro345911[[#This Row],[JUNHO]]</f>
        <v>0</v>
      </c>
      <c r="I167" s="158"/>
      <c r="J167" s="97"/>
      <c r="K167" s="97"/>
      <c r="L167" s="97"/>
      <c r="M167" s="97"/>
      <c r="N167" s="129"/>
      <c r="O167" s="226">
        <f>SUM(Fluxo_de_Caixa_Janeiro3102013[[#This Row],[Janeiro]:[Dezembro]])</f>
        <v>-59928.67</v>
      </c>
      <c r="P167" s="144">
        <f>-IFERROR(O167/$O$27,"0,00")</f>
        <v>3.4079961119889528E-2</v>
      </c>
      <c r="Q167" s="98">
        <v>2.053735990262235E-2</v>
      </c>
      <c r="R167" s="32" t="str">
        <f>IF(Fluxo_de_Caixa_Janeiro3102013[[#This Row],[% ACUMULADO  2º SEMEST 2026]]&lt;=Fluxo_de_Caixa_Janeiro3102013[[#This Row],[Coluna1]],"VERDADEIRO","FALSO")</f>
        <v>FALSO</v>
      </c>
    </row>
    <row r="168" spans="1:18" x14ac:dyDescent="0.25">
      <c r="B168" s="169" t="str">
        <f>Fluxo_de_Caixa_Janeiro[[#This Row],[Fluxo de Caixa 2026 CTR]]</f>
        <v>3.5.01. Conta de Água</v>
      </c>
      <c r="C168" s="41"/>
      <c r="D168" s="81"/>
      <c r="E168" s="81"/>
      <c r="F168" s="81">
        <f>Fluxo_de_Caixa_Janeiro345[[#This Row],[ABRIL]]</f>
        <v>258.52</v>
      </c>
      <c r="G168" s="81">
        <f>Fluxo_de_Caixa_Janeiro3459[[#This Row],[MAIO]]</f>
        <v>363.84</v>
      </c>
      <c r="H168" s="81">
        <f>Fluxo_de_Caixa_Janeiro345911[[#This Row],[JUNHO]]</f>
        <v>0</v>
      </c>
      <c r="I168" s="41"/>
      <c r="J168" s="81"/>
      <c r="K168" s="81"/>
      <c r="L168" s="81"/>
      <c r="M168" s="81"/>
      <c r="N168" s="118"/>
      <c r="O168" s="223">
        <f>SUM(Fluxo_de_Caixa_Janeiro3102013[[#This Row],[Janeiro]:[Dezembro]])</f>
        <v>622.3599999999999</v>
      </c>
      <c r="P168" s="193">
        <f t="shared" ref="P168:P181" si="10">IFERROR(O168/$O$27,"0,00%")</f>
        <v>3.5392082958915066E-4</v>
      </c>
      <c r="Q168" s="93">
        <v>4.1294791869794187E-4</v>
      </c>
      <c r="R168" s="32" t="str">
        <f>IF(Fluxo_de_Caixa_Janeiro3102013[[#This Row],[% ACUMULADO  2º SEMEST 2026]]&lt;=Fluxo_de_Caixa_Janeiro3102013[[#This Row],[Coluna1]],"VERDADEIRO","FALSO")</f>
        <v>VERDADEIRO</v>
      </c>
    </row>
    <row r="169" spans="1:18" x14ac:dyDescent="0.25">
      <c r="B169" s="55" t="str">
        <f>Fluxo_de_Caixa_Janeiro[[#This Row],[Fluxo de Caixa 2026 CTR]]</f>
        <v xml:space="preserve">3.5.02. Conta de Energia </v>
      </c>
      <c r="C169" s="35"/>
      <c r="D169" s="62"/>
      <c r="E169" s="62"/>
      <c r="F169" s="62">
        <f>Fluxo_de_Caixa_Janeiro345[[#This Row],[ABRIL]]</f>
        <v>4410.7</v>
      </c>
      <c r="G169" s="62">
        <f>Fluxo_de_Caixa_Janeiro3459[[#This Row],[MAIO]]</f>
        <v>4339.57</v>
      </c>
      <c r="H169" s="62">
        <f>Fluxo_de_Caixa_Janeiro345911[[#This Row],[JUNHO]]</f>
        <v>0</v>
      </c>
      <c r="I169" s="35"/>
      <c r="J169" s="62"/>
      <c r="K169" s="62"/>
      <c r="L169" s="62"/>
      <c r="M169" s="62"/>
      <c r="N169" s="119"/>
      <c r="O169" s="224">
        <f>SUM(Fluxo_de_Caixa_Janeiro3102013[[#This Row],[Janeiro]:[Dezembro]])</f>
        <v>8750.27</v>
      </c>
      <c r="P169" s="194">
        <f t="shared" si="10"/>
        <v>4.9760633998474479E-3</v>
      </c>
      <c r="Q169" s="75">
        <v>3.5273539887527763E-3</v>
      </c>
      <c r="R169" s="32" t="str">
        <f>IF(Fluxo_de_Caixa_Janeiro3102013[[#This Row],[% ACUMULADO  2º SEMEST 2026]]&lt;=Fluxo_de_Caixa_Janeiro3102013[[#This Row],[Coluna1]],"VERDADEIRO","FALSO")</f>
        <v>FALSO</v>
      </c>
    </row>
    <row r="170" spans="1:18" x14ac:dyDescent="0.25">
      <c r="B170" s="55" t="str">
        <f>Fluxo_de_Caixa_Janeiro[[#This Row],[Fluxo de Caixa 2026 CTR]]</f>
        <v>3.5.03. Conta de Telefone Fixo/Internet</v>
      </c>
      <c r="C170" s="35"/>
      <c r="D170" s="62"/>
      <c r="E170" s="62"/>
      <c r="F170" s="62">
        <f>Fluxo_de_Caixa_Janeiro345[[#This Row],[ABRIL]]</f>
        <v>928.7</v>
      </c>
      <c r="G170" s="62">
        <f>Fluxo_de_Caixa_Janeiro3459[[#This Row],[MAIO]]</f>
        <v>928.7</v>
      </c>
      <c r="H170" s="62">
        <f>Fluxo_de_Caixa_Janeiro345911[[#This Row],[JUNHO]]</f>
        <v>0</v>
      </c>
      <c r="I170" s="35"/>
      <c r="J170" s="62"/>
      <c r="K170" s="62"/>
      <c r="L170" s="62"/>
      <c r="M170" s="62"/>
      <c r="N170" s="119"/>
      <c r="O170" s="224">
        <f>SUM(Fluxo_de_Caixa_Janeiro3102013[[#This Row],[Janeiro]:[Dezembro]])</f>
        <v>1857.4</v>
      </c>
      <c r="P170" s="194">
        <f t="shared" si="10"/>
        <v>1.0562577107765417E-3</v>
      </c>
      <c r="Q170" s="75">
        <v>9.4741257527470148E-4</v>
      </c>
      <c r="R170" s="32" t="str">
        <f>IF(Fluxo_de_Caixa_Janeiro3102013[[#This Row],[% ACUMULADO  2º SEMEST 2026]]&lt;=Fluxo_de_Caixa_Janeiro3102013[[#This Row],[Coluna1]],"VERDADEIRO","FALSO")</f>
        <v>FALSO</v>
      </c>
    </row>
    <row r="171" spans="1:18" x14ac:dyDescent="0.25">
      <c r="B171" s="55" t="str">
        <f>Fluxo_de_Caixa_Janeiro[[#This Row],[Fluxo de Caixa 2026 CTR]]</f>
        <v>3.5.04. Conta de Celular</v>
      </c>
      <c r="C171" s="35"/>
      <c r="D171" s="62"/>
      <c r="E171" s="62"/>
      <c r="F171" s="62">
        <f>Fluxo_de_Caixa_Janeiro345[[#This Row],[ABRIL]]</f>
        <v>483.21</v>
      </c>
      <c r="G171" s="62">
        <f>Fluxo_de_Caixa_Janeiro3459[[#This Row],[MAIO]]</f>
        <v>493.33</v>
      </c>
      <c r="H171" s="62">
        <f>Fluxo_de_Caixa_Janeiro345911[[#This Row],[JUNHO]]</f>
        <v>0</v>
      </c>
      <c r="I171" s="35"/>
      <c r="J171" s="62"/>
      <c r="K171" s="62"/>
      <c r="L171" s="62"/>
      <c r="M171" s="62"/>
      <c r="N171" s="119"/>
      <c r="O171" s="224">
        <f>SUM(Fluxo_de_Caixa_Janeiro3102013[[#This Row],[Janeiro]:[Dezembro]])</f>
        <v>976.54</v>
      </c>
      <c r="P171" s="194">
        <f t="shared" si="10"/>
        <v>5.5533428711194359E-4</v>
      </c>
      <c r="Q171" s="75">
        <v>1.367143505666867E-4</v>
      </c>
      <c r="R171" s="32" t="str">
        <f>IF(Fluxo_de_Caixa_Janeiro3102013[[#This Row],[% ACUMULADO  2º SEMEST 2026]]&lt;=Fluxo_de_Caixa_Janeiro3102013[[#This Row],[Coluna1]],"VERDADEIRO","FALSO")</f>
        <v>FALSO</v>
      </c>
    </row>
    <row r="172" spans="1:18" x14ac:dyDescent="0.25">
      <c r="B172" s="55" t="str">
        <f>Fluxo_de_Caixa_Janeiro[[#This Row],[Fluxo de Caixa 2026 CTR]]</f>
        <v>3.5.05. Aluguel Predial</v>
      </c>
      <c r="C172" s="35"/>
      <c r="D172" s="62"/>
      <c r="E172" s="62"/>
      <c r="F172" s="62">
        <f>Fluxo_de_Caixa_Janeiro345[[#This Row],[ABRIL]]</f>
        <v>14000</v>
      </c>
      <c r="G172" s="62">
        <f>Fluxo_de_Caixa_Janeiro3459[[#This Row],[MAIO]]</f>
        <v>14000</v>
      </c>
      <c r="H172" s="62">
        <f>Fluxo_de_Caixa_Janeiro345911[[#This Row],[JUNHO]]</f>
        <v>0</v>
      </c>
      <c r="I172" s="35"/>
      <c r="J172" s="62"/>
      <c r="K172" s="62"/>
      <c r="L172" s="62"/>
      <c r="M172" s="62"/>
      <c r="N172" s="119"/>
      <c r="O172" s="224">
        <f>SUM(Fluxo_de_Caixa_Janeiro3102013[[#This Row],[Janeiro]:[Dezembro]])</f>
        <v>28000</v>
      </c>
      <c r="P172" s="194">
        <f t="shared" si="10"/>
        <v>1.5922911543955622E-2</v>
      </c>
      <c r="Q172" s="75">
        <v>7.517685190564405E-3</v>
      </c>
      <c r="R172" s="32" t="str">
        <f>IF(Fluxo_de_Caixa_Janeiro3102013[[#This Row],[% ACUMULADO  2º SEMEST 2026]]&lt;=Fluxo_de_Caixa_Janeiro3102013[[#This Row],[Coluna1]],"VERDADEIRO","FALSO")</f>
        <v>FALSO</v>
      </c>
    </row>
    <row r="173" spans="1:18" x14ac:dyDescent="0.25">
      <c r="B173" s="55" t="str">
        <f>Fluxo_de_Caixa_Janeiro[[#This Row],[Fluxo de Caixa 2026 CTR]]</f>
        <v>3.5.06. Aluguel Maquina de Cartão</v>
      </c>
      <c r="C173" s="35"/>
      <c r="D173" s="62"/>
      <c r="E173" s="62"/>
      <c r="F173" s="62">
        <f>Fluxo_de_Caixa_Janeiro345[[#This Row],[ABRIL]]</f>
        <v>0</v>
      </c>
      <c r="G173" s="62">
        <f>Fluxo_de_Caixa_Janeiro3459[[#This Row],[MAIO]]</f>
        <v>0</v>
      </c>
      <c r="H173" s="62">
        <f>Fluxo_de_Caixa_Janeiro345911[[#This Row],[JUNHO]]</f>
        <v>0</v>
      </c>
      <c r="I173" s="35"/>
      <c r="J173" s="62"/>
      <c r="K173" s="62"/>
      <c r="L173" s="62"/>
      <c r="M173" s="62"/>
      <c r="N173" s="119"/>
      <c r="O173" s="224">
        <f>SUM(Fluxo_de_Caixa_Janeiro3102013[[#This Row],[Janeiro]:[Dezembro]])</f>
        <v>0</v>
      </c>
      <c r="P173" s="194">
        <f t="shared" si="10"/>
        <v>0</v>
      </c>
      <c r="Q173" s="75">
        <v>0</v>
      </c>
      <c r="R173" s="32" t="str">
        <f>IF(Fluxo_de_Caixa_Janeiro3102013[[#This Row],[% ACUMULADO  2º SEMEST 2026]]&lt;=Fluxo_de_Caixa_Janeiro3102013[[#This Row],[Coluna1]],"VERDADEIRO","FALSO")</f>
        <v>VERDADEIRO</v>
      </c>
    </row>
    <row r="174" spans="1:18" x14ac:dyDescent="0.25">
      <c r="B174" s="169" t="str">
        <f>Fluxo_de_Caixa_Janeiro[[#This Row],[Fluxo de Caixa 2026 CTR]]</f>
        <v>3.5.07. Empresa de Vigilância e Monitoramento</v>
      </c>
      <c r="C174" s="41"/>
      <c r="D174" s="81"/>
      <c r="E174" s="81"/>
      <c r="F174" s="81">
        <f>Fluxo_de_Caixa_Janeiro345[[#This Row],[ABRIL]]</f>
        <v>1142.0999999999999</v>
      </c>
      <c r="G174" s="81">
        <f>Fluxo_de_Caixa_Janeiro3459[[#This Row],[MAIO]]</f>
        <v>580</v>
      </c>
      <c r="H174" s="81">
        <f>Fluxo_de_Caixa_Janeiro345911[[#This Row],[JUNHO]]</f>
        <v>0</v>
      </c>
      <c r="I174" s="41"/>
      <c r="J174" s="81"/>
      <c r="K174" s="81"/>
      <c r="L174" s="81"/>
      <c r="M174" s="81"/>
      <c r="N174" s="118"/>
      <c r="O174" s="223">
        <f>SUM(Fluxo_de_Caixa_Janeiro3102013[[#This Row],[Janeiro]:[Dezembro]])</f>
        <v>1722.1</v>
      </c>
      <c r="P174" s="193">
        <f t="shared" si="10"/>
        <v>9.7931592749449909E-4</v>
      </c>
      <c r="Q174" s="93">
        <v>4.3310446290820961E-4</v>
      </c>
      <c r="R174" s="32" t="str">
        <f>IF(Fluxo_de_Caixa_Janeiro3102013[[#This Row],[% ACUMULADO  2º SEMEST 2026]]&lt;=Fluxo_de_Caixa_Janeiro3102013[[#This Row],[Coluna1]],"VERDADEIRO","FALSO")</f>
        <v>FALSO</v>
      </c>
    </row>
    <row r="175" spans="1:18" hidden="1" x14ac:dyDescent="0.25">
      <c r="B175" s="55">
        <f>Fluxo_de_Caixa_Janeiro[[#This Row],[Fluxo de Caixa 2026 CTR]]</f>
        <v>0</v>
      </c>
      <c r="C175" s="35"/>
      <c r="D175" s="62"/>
      <c r="E175" s="62"/>
      <c r="F175" s="62">
        <f>Fluxo_de_Caixa_Janeiro345[[#This Row],[ABRIL]]</f>
        <v>0</v>
      </c>
      <c r="G175" s="62">
        <f>Fluxo_de_Caixa_Janeiro3459[[#This Row],[MAIO]]</f>
        <v>0</v>
      </c>
      <c r="H175" s="62">
        <f>Fluxo_de_Caixa_Janeiro345911[[#This Row],[JUNHO]]</f>
        <v>0</v>
      </c>
      <c r="I175" s="35"/>
      <c r="J175" s="62"/>
      <c r="K175" s="62"/>
      <c r="L175" s="62"/>
      <c r="M175" s="62"/>
      <c r="N175" s="119"/>
      <c r="O175" s="224">
        <f>SUM(Fluxo_de_Caixa_Janeiro3102013[[#This Row],[Janeiro]:[Dezembro]])</f>
        <v>0</v>
      </c>
      <c r="P175" s="194">
        <f t="shared" si="10"/>
        <v>0</v>
      </c>
      <c r="Q175" s="75">
        <v>0</v>
      </c>
      <c r="R175" s="32" t="str">
        <f>IF(Fluxo_de_Caixa_Janeiro3102013[[#This Row],[% ACUMULADO  2º SEMEST 2026]]&lt;=Fluxo_de_Caixa_Janeiro3102013[[#This Row],[Coluna1]],"VERDADEIRO","FALSO")</f>
        <v>VERDADEIRO</v>
      </c>
    </row>
    <row r="176" spans="1:18" x14ac:dyDescent="0.25">
      <c r="B176" s="55" t="str">
        <f>Fluxo_de_Caixa_Janeiro[[#This Row],[Fluxo de Caixa 2026 CTR]]</f>
        <v>3.5.09. Sindicato Patronal / Entidades de apoio Comercio/Indus</v>
      </c>
      <c r="C176" s="35"/>
      <c r="D176" s="62"/>
      <c r="E176" s="62"/>
      <c r="F176" s="62">
        <f>Fluxo_de_Caixa_Janeiro345[[#This Row],[ABRIL]]</f>
        <v>0</v>
      </c>
      <c r="G176" s="62">
        <f>Fluxo_de_Caixa_Janeiro3459[[#This Row],[MAIO]]</f>
        <v>0</v>
      </c>
      <c r="H176" s="62">
        <f>Fluxo_de_Caixa_Janeiro345911[[#This Row],[JUNHO]]</f>
        <v>0</v>
      </c>
      <c r="I176" s="35"/>
      <c r="J176" s="62"/>
      <c r="K176" s="62"/>
      <c r="L176" s="62"/>
      <c r="M176" s="62"/>
      <c r="N176" s="119"/>
      <c r="O176" s="224">
        <f>SUM(Fluxo_de_Caixa_Janeiro3102013[[#This Row],[Janeiro]:[Dezembro]])</f>
        <v>0</v>
      </c>
      <c r="P176" s="194">
        <f t="shared" si="10"/>
        <v>0</v>
      </c>
      <c r="Q176" s="75">
        <v>0</v>
      </c>
      <c r="R176" s="32" t="str">
        <f>IF(Fluxo_de_Caixa_Janeiro3102013[[#This Row],[% ACUMULADO  2º SEMEST 2026]]&lt;=Fluxo_de_Caixa_Janeiro3102013[[#This Row],[Coluna1]],"VERDADEIRO","FALSO")</f>
        <v>VERDADEIRO</v>
      </c>
    </row>
    <row r="177" spans="2:18" x14ac:dyDescent="0.25">
      <c r="B177" s="55" t="str">
        <f>Fluxo_de_Caixa_Janeiro[[#This Row],[Fluxo de Caixa 2026 CTR]]</f>
        <v>3.5.10. Honorarios Contabilidade</v>
      </c>
      <c r="C177" s="35"/>
      <c r="D177" s="62"/>
      <c r="E177" s="62"/>
      <c r="F177" s="62">
        <f>Fluxo_de_Caixa_Janeiro345[[#This Row],[ABRIL]]</f>
        <v>9000</v>
      </c>
      <c r="G177" s="62">
        <f>Fluxo_de_Caixa_Janeiro3459[[#This Row],[MAIO]]</f>
        <v>9000</v>
      </c>
      <c r="H177" s="62">
        <f>Fluxo_de_Caixa_Janeiro345911[[#This Row],[JUNHO]]</f>
        <v>0</v>
      </c>
      <c r="I177" s="35"/>
      <c r="J177" s="62"/>
      <c r="K177" s="62"/>
      <c r="L177" s="62"/>
      <c r="M177" s="62"/>
      <c r="N177" s="119"/>
      <c r="O177" s="224">
        <f>SUM(Fluxo_de_Caixa_Janeiro3102013[[#This Row],[Janeiro]:[Dezembro]])</f>
        <v>18000</v>
      </c>
      <c r="P177" s="194">
        <f t="shared" si="10"/>
        <v>1.0236157421114327E-2</v>
      </c>
      <c r="Q177" s="75">
        <v>7.5621414158576284E-3</v>
      </c>
      <c r="R177" s="32" t="str">
        <f>IF(Fluxo_de_Caixa_Janeiro3102013[[#This Row],[% ACUMULADO  2º SEMEST 2026]]&lt;=Fluxo_de_Caixa_Janeiro3102013[[#This Row],[Coluna1]],"VERDADEIRO","FALSO")</f>
        <v>FALSO</v>
      </c>
    </row>
    <row r="178" spans="2:18" ht="15.75" thickBot="1" x14ac:dyDescent="0.3">
      <c r="B178" s="55" t="str">
        <f>Fluxo_de_Caixa_Janeiro[[#This Row],[Fluxo de Caixa 2026 CTR]]</f>
        <v>3.5.10.01. DECIMO TERCEIRO CONTABILIDADE</v>
      </c>
      <c r="C178" s="35"/>
      <c r="D178" s="62"/>
      <c r="E178" s="62"/>
      <c r="F178" s="62">
        <f>Fluxo_de_Caixa_Janeiro345[[#This Row],[ABRIL]]</f>
        <v>0</v>
      </c>
      <c r="G178" s="62">
        <f>Fluxo_de_Caixa_Janeiro3459[[#This Row],[MAIO]]</f>
        <v>0</v>
      </c>
      <c r="H178" s="62">
        <f>Fluxo_de_Caixa_Janeiro345911[[#This Row],[JUNHO]]</f>
        <v>0</v>
      </c>
      <c r="I178" s="35"/>
      <c r="J178" s="62"/>
      <c r="K178" s="62"/>
      <c r="L178" s="62"/>
      <c r="M178" s="62"/>
      <c r="N178" s="119"/>
      <c r="O178" s="224">
        <f>SUM(Fluxo_de_Caixa_Janeiro3102013[[#This Row],[Janeiro]:[Dezembro]])</f>
        <v>0</v>
      </c>
      <c r="P178" s="194">
        <f t="shared" si="10"/>
        <v>0</v>
      </c>
      <c r="Q178" s="75">
        <v>0</v>
      </c>
      <c r="R178" s="32" t="str">
        <f>IF(Fluxo_de_Caixa_Janeiro3102013[[#This Row],[% ACUMULADO  2º SEMEST 2026]]&lt;=Fluxo_de_Caixa_Janeiro3102013[[#This Row],[Coluna1]],"VERDADEIRO","FALSO")</f>
        <v>VERDADEIRO</v>
      </c>
    </row>
    <row r="179" spans="2:18" hidden="1" x14ac:dyDescent="0.25">
      <c r="B179" s="55">
        <f>Fluxo_de_Caixa_Janeiro[[#This Row],[Fluxo de Caixa 2026 CTR]]</f>
        <v>0</v>
      </c>
      <c r="C179" s="35"/>
      <c r="D179" s="62"/>
      <c r="E179" s="62"/>
      <c r="F179" s="62">
        <f>Fluxo_de_Caixa_Janeiro345[[#This Row],[ABRIL]]</f>
        <v>0</v>
      </c>
      <c r="G179" s="62">
        <f>Fluxo_de_Caixa_Janeiro3459[[#This Row],[MAIO]]</f>
        <v>0</v>
      </c>
      <c r="H179" s="62">
        <f>Fluxo_de_Caixa_Janeiro345911[[#This Row],[JUNHO]]</f>
        <v>0</v>
      </c>
      <c r="I179" s="35"/>
      <c r="J179" s="62"/>
      <c r="K179" s="62"/>
      <c r="L179" s="62"/>
      <c r="M179" s="62"/>
      <c r="N179" s="119"/>
      <c r="O179" s="224">
        <f>SUM(Fluxo_de_Caixa_Janeiro3102013[[#This Row],[Janeiro]:[Dezembro]])</f>
        <v>0</v>
      </c>
      <c r="P179" s="194">
        <f t="shared" si="10"/>
        <v>0</v>
      </c>
      <c r="Q179" s="75">
        <v>0</v>
      </c>
      <c r="R179" s="32" t="str">
        <f>IF(Fluxo_de_Caixa_Janeiro3102013[[#This Row],[% ACUMULADO  2º SEMEST 2026]]&lt;=Fluxo_de_Caixa_Janeiro3102013[[#This Row],[Coluna1]],"VERDADEIRO","FALSO")</f>
        <v>VERDADEIRO</v>
      </c>
    </row>
    <row r="180" spans="2:18" hidden="1" x14ac:dyDescent="0.25">
      <c r="B180" s="55">
        <f>Fluxo_de_Caixa_Janeiro[[#This Row],[Fluxo de Caixa 2026 CTR]]</f>
        <v>0</v>
      </c>
      <c r="C180" s="35"/>
      <c r="D180" s="62"/>
      <c r="E180" s="62"/>
      <c r="F180" s="62">
        <f>Fluxo_de_Caixa_Janeiro345[[#This Row],[ABRIL]]</f>
        <v>0</v>
      </c>
      <c r="G180" s="62">
        <f>Fluxo_de_Caixa_Janeiro3459[[#This Row],[MAIO]]</f>
        <v>0</v>
      </c>
      <c r="H180" s="62">
        <f>Fluxo_de_Caixa_Janeiro345911[[#This Row],[JUNHO]]</f>
        <v>0</v>
      </c>
      <c r="I180" s="35"/>
      <c r="J180" s="62"/>
      <c r="K180" s="62"/>
      <c r="L180" s="62"/>
      <c r="M180" s="62"/>
      <c r="N180" s="119"/>
      <c r="O180" s="224">
        <f>SUM(Fluxo_de_Caixa_Janeiro3102013[[#This Row],[Janeiro]:[Dezembro]])</f>
        <v>0</v>
      </c>
      <c r="P180" s="194">
        <f t="shared" si="10"/>
        <v>0</v>
      </c>
      <c r="Q180" s="75">
        <v>0</v>
      </c>
      <c r="R180" s="32" t="str">
        <f>IF(Fluxo_de_Caixa_Janeiro3102013[[#This Row],[% ACUMULADO  2º SEMEST 2026]]&lt;=Fluxo_de_Caixa_Janeiro3102013[[#This Row],[Coluna1]],"VERDADEIRO","FALSO")</f>
        <v>VERDADEIRO</v>
      </c>
    </row>
    <row r="181" spans="2:18" ht="15.75" hidden="1" thickBot="1" x14ac:dyDescent="0.3">
      <c r="B181" s="55">
        <f>Fluxo_de_Caixa_Janeiro[[#This Row],[Fluxo de Caixa 2026 CTR]]</f>
        <v>0</v>
      </c>
      <c r="C181" s="35"/>
      <c r="D181" s="62"/>
      <c r="E181" s="62"/>
      <c r="F181" s="62">
        <f>Fluxo_de_Caixa_Janeiro345[[#This Row],[ABRIL]]</f>
        <v>0</v>
      </c>
      <c r="G181" s="62">
        <f>Fluxo_de_Caixa_Janeiro3459[[#This Row],[MAIO]]</f>
        <v>0</v>
      </c>
      <c r="H181" s="62">
        <f>Fluxo_de_Caixa_Janeiro345911[[#This Row],[JUNHO]]</f>
        <v>0</v>
      </c>
      <c r="I181" s="35"/>
      <c r="J181" s="62"/>
      <c r="K181" s="62"/>
      <c r="L181" s="62"/>
      <c r="M181" s="62"/>
      <c r="N181" s="119"/>
      <c r="O181" s="224">
        <f>SUM(Fluxo_de_Caixa_Janeiro3102013[[#This Row],[Janeiro]:[Dezembro]])</f>
        <v>0</v>
      </c>
      <c r="P181" s="194">
        <f t="shared" si="10"/>
        <v>0</v>
      </c>
      <c r="Q181" s="75">
        <v>0</v>
      </c>
      <c r="R181" s="32" t="str">
        <f>IF(Fluxo_de_Caixa_Janeiro3102013[[#This Row],[% ACUMULADO  2º SEMEST 2026]]&lt;=Fluxo_de_Caixa_Janeiro3102013[[#This Row],[Coluna1]],"VERDADEIRO","FALSO")</f>
        <v>VERDADEIRO</v>
      </c>
    </row>
    <row r="182" spans="2:18" ht="19.5" thickBot="1" x14ac:dyDescent="0.35">
      <c r="B182" s="277" t="str">
        <f>Fluxo_de_Caixa_Janeiro[[#This Row],[Fluxo de Caixa 2026 CTR]]</f>
        <v>3.6. DESPESAS FINANCEIRAS</v>
      </c>
      <c r="C182" s="158"/>
      <c r="D182" s="97"/>
      <c r="E182" s="97"/>
      <c r="F182" s="97">
        <f>Fluxo_de_Caixa_Janeiro345[[#This Row],[ABRIL]]</f>
        <v>-23958.309999999998</v>
      </c>
      <c r="G182" s="97">
        <f>Fluxo_de_Caixa_Janeiro3459[[#This Row],[MAIO]]</f>
        <v>-49700.920000000006</v>
      </c>
      <c r="H182" s="97">
        <f>Fluxo_de_Caixa_Janeiro345911[[#This Row],[JUNHO]]</f>
        <v>0</v>
      </c>
      <c r="I182" s="158"/>
      <c r="J182" s="97"/>
      <c r="K182" s="97"/>
      <c r="L182" s="97"/>
      <c r="M182" s="97"/>
      <c r="N182" s="129"/>
      <c r="O182" s="226">
        <f>SUM(Fluxo_de_Caixa_Janeiro3102013[[#This Row],[Janeiro]:[Dezembro]])</f>
        <v>-73659.23000000001</v>
      </c>
      <c r="P182" s="144">
        <f>-IFERROR(O182/$O$27,"0,00")</f>
        <v>4.1888192988781513E-2</v>
      </c>
      <c r="Q182" s="98">
        <v>1.670032476510018E-3</v>
      </c>
      <c r="R182" s="32" t="str">
        <f>IF(Fluxo_de_Caixa_Janeiro3102013[[#This Row],[% ACUMULADO  2º SEMEST 2026]]&lt;=Fluxo_de_Caixa_Janeiro3102013[[#This Row],[Coluna1]],"VERDADEIRO","FALSO")</f>
        <v>FALSO</v>
      </c>
    </row>
    <row r="183" spans="2:18" x14ac:dyDescent="0.25">
      <c r="B183" s="386" t="str">
        <f>Fluxo_de_Caixa_Janeiro[[#This Row],[Fluxo de Caixa 2026 CTR]]</f>
        <v xml:space="preserve">3.6.01. Tarifas Bancárias </v>
      </c>
      <c r="C183" s="36"/>
      <c r="D183" s="82"/>
      <c r="E183" s="82"/>
      <c r="F183" s="82">
        <f>Fluxo_de_Caixa_Janeiro345[[#This Row],[ABRIL]]</f>
        <v>1650.93</v>
      </c>
      <c r="G183" s="82">
        <f>Fluxo_de_Caixa_Janeiro3459[[#This Row],[MAIO]]</f>
        <v>1686.44</v>
      </c>
      <c r="H183" s="82">
        <f>Fluxo_de_Caixa_Janeiro345911[[#This Row],[JUNHO]]</f>
        <v>0</v>
      </c>
      <c r="I183" s="36"/>
      <c r="J183" s="82"/>
      <c r="K183" s="82"/>
      <c r="L183" s="82"/>
      <c r="M183" s="82"/>
      <c r="N183" s="120"/>
      <c r="O183" s="225">
        <f>SUM(Fluxo_de_Caixa_Janeiro3102013[[#This Row],[Janeiro]:[Dezembro]])</f>
        <v>3337.37</v>
      </c>
      <c r="P183" s="195">
        <f t="shared" ref="P183:P199" si="11">IFERROR(O183/$O$27,"0,00%")</f>
        <v>1.8978802606946844E-3</v>
      </c>
      <c r="Q183" s="96">
        <v>1.2234582356495623E-3</v>
      </c>
      <c r="R183" s="32" t="str">
        <f>IF(Fluxo_de_Caixa_Janeiro3102013[[#This Row],[% ACUMULADO  2º SEMEST 2026]]&lt;=Fluxo_de_Caixa_Janeiro3102013[[#This Row],[Coluna1]],"VERDADEIRO","FALSO")</f>
        <v>FALSO</v>
      </c>
    </row>
    <row r="184" spans="2:18" x14ac:dyDescent="0.25">
      <c r="B184" s="385" t="str">
        <f>Fluxo_de_Caixa_Janeiro[[#This Row],[Fluxo de Caixa 2026 CTR]]</f>
        <v>3.6.02. IOF</v>
      </c>
      <c r="C184" s="357"/>
      <c r="D184" s="306"/>
      <c r="E184" s="306"/>
      <c r="F184" s="306">
        <f>Fluxo_de_Caixa_Janeiro345[[#This Row],[ABRIL]]</f>
        <v>434.42</v>
      </c>
      <c r="G184" s="306">
        <f>Fluxo_de_Caixa_Janeiro3459[[#This Row],[MAIO]]</f>
        <v>0</v>
      </c>
      <c r="H184" s="306">
        <f>Fluxo_de_Caixa_Janeiro345911[[#This Row],[JUNHO]]</f>
        <v>0</v>
      </c>
      <c r="I184" s="357"/>
      <c r="J184" s="306"/>
      <c r="K184" s="306"/>
      <c r="L184" s="306"/>
      <c r="M184" s="306"/>
      <c r="N184" s="306"/>
      <c r="O184" s="225">
        <f>SUM(Fluxo_de_Caixa_Janeiro3102013[[#This Row],[Janeiro]:[Dezembro]])</f>
        <v>434.42</v>
      </c>
      <c r="P184" s="195">
        <f t="shared" si="11"/>
        <v>2.4704397260447147E-4</v>
      </c>
      <c r="Q184" s="96">
        <v>1.8437875706663782E-5</v>
      </c>
      <c r="R184" s="32"/>
    </row>
    <row r="185" spans="2:18" x14ac:dyDescent="0.25">
      <c r="B185" s="385" t="str">
        <f>Fluxo_de_Caixa_Janeiro[[#This Row],[Fluxo de Caixa 2026 CTR]]</f>
        <v>3.6.03. Perdas e Devedores Duvidosos</v>
      </c>
      <c r="C185" s="357"/>
      <c r="D185" s="306"/>
      <c r="E185" s="306"/>
      <c r="F185" s="306">
        <f>Fluxo_de_Caixa_Janeiro345[[#This Row],[ABRIL]]</f>
        <v>0</v>
      </c>
      <c r="G185" s="306">
        <f>Fluxo_de_Caixa_Janeiro3459[[#This Row],[MAIO]]</f>
        <v>0</v>
      </c>
      <c r="H185" s="306">
        <f>Fluxo_de_Caixa_Janeiro345911[[#This Row],[JUNHO]]</f>
        <v>0</v>
      </c>
      <c r="I185" s="357"/>
      <c r="J185" s="306"/>
      <c r="K185" s="306"/>
      <c r="L185" s="306"/>
      <c r="M185" s="306"/>
      <c r="N185" s="306"/>
      <c r="O185" s="225">
        <f>SUM(Fluxo_de_Caixa_Janeiro3102013[[#This Row],[Janeiro]:[Dezembro]])</f>
        <v>0</v>
      </c>
      <c r="P185" s="195">
        <f t="shared" si="11"/>
        <v>0</v>
      </c>
      <c r="Q185" s="96">
        <v>0</v>
      </c>
      <c r="R185" s="32"/>
    </row>
    <row r="186" spans="2:18" hidden="1" x14ac:dyDescent="0.25">
      <c r="B186" s="385">
        <f>Fluxo_de_Caixa_Janeiro[[#This Row],[Fluxo de Caixa 2026 CTR]]</f>
        <v>0</v>
      </c>
      <c r="C186" s="357"/>
      <c r="D186" s="306"/>
      <c r="E186" s="306"/>
      <c r="F186" s="306">
        <f>Fluxo_de_Caixa_Janeiro345[[#This Row],[ABRIL]]</f>
        <v>0</v>
      </c>
      <c r="G186" s="306">
        <f>Fluxo_de_Caixa_Janeiro3459[[#This Row],[MAIO]]</f>
        <v>0</v>
      </c>
      <c r="H186" s="306">
        <f>Fluxo_de_Caixa_Janeiro345911[[#This Row],[JUNHO]]</f>
        <v>0</v>
      </c>
      <c r="I186" s="357"/>
      <c r="J186" s="306"/>
      <c r="K186" s="306"/>
      <c r="L186" s="306"/>
      <c r="M186" s="306"/>
      <c r="N186" s="306"/>
      <c r="O186" s="225">
        <f>SUM(Fluxo_de_Caixa_Janeiro3102013[[#This Row],[Janeiro]:[Dezembro]])</f>
        <v>0</v>
      </c>
      <c r="P186" s="195">
        <f t="shared" si="11"/>
        <v>0</v>
      </c>
      <c r="Q186" s="96">
        <v>0</v>
      </c>
      <c r="R186" s="32"/>
    </row>
    <row r="187" spans="2:18" x14ac:dyDescent="0.25">
      <c r="B187" s="385" t="str">
        <f>Fluxo_de_Caixa_Janeiro[[#This Row],[Fluxo de Caixa 2026 CTR]]</f>
        <v>3.6.05.MULTA E JUROS DE MORA PAGAMENTO</v>
      </c>
      <c r="C187" s="357"/>
      <c r="D187" s="306"/>
      <c r="E187" s="306"/>
      <c r="F187" s="306">
        <f>Fluxo_de_Caixa_Janeiro345[[#This Row],[ABRIL]]</f>
        <v>0</v>
      </c>
      <c r="G187" s="306">
        <f>Fluxo_de_Caixa_Janeiro3459[[#This Row],[MAIO]]</f>
        <v>0</v>
      </c>
      <c r="H187" s="306">
        <f>Fluxo_de_Caixa_Janeiro345911[[#This Row],[JUNHO]]</f>
        <v>0</v>
      </c>
      <c r="I187" s="357"/>
      <c r="J187" s="306"/>
      <c r="K187" s="306"/>
      <c r="L187" s="306"/>
      <c r="M187" s="306"/>
      <c r="N187" s="306"/>
      <c r="O187" s="225">
        <f>SUM(Fluxo_de_Caixa_Janeiro3102013[[#This Row],[Janeiro]:[Dezembro]])</f>
        <v>0</v>
      </c>
      <c r="P187" s="195">
        <f t="shared" si="11"/>
        <v>0</v>
      </c>
      <c r="Q187" s="96">
        <v>0</v>
      </c>
      <c r="R187" s="32"/>
    </row>
    <row r="188" spans="2:18" hidden="1" x14ac:dyDescent="0.25">
      <c r="B188" s="385">
        <f>Fluxo_de_Caixa_Janeiro[[#This Row],[Fluxo de Caixa 2026 CTR]]</f>
        <v>0</v>
      </c>
      <c r="C188" s="357"/>
      <c r="D188" s="306"/>
      <c r="E188" s="306"/>
      <c r="F188" s="306">
        <f>Fluxo_de_Caixa_Janeiro345[[#This Row],[ABRIL]]</f>
        <v>0</v>
      </c>
      <c r="G188" s="306">
        <f>Fluxo_de_Caixa_Janeiro3459[[#This Row],[MAIO]]</f>
        <v>0</v>
      </c>
      <c r="H188" s="306">
        <f>Fluxo_de_Caixa_Janeiro345911[[#This Row],[JUNHO]]</f>
        <v>0</v>
      </c>
      <c r="I188" s="357"/>
      <c r="J188" s="306"/>
      <c r="K188" s="306"/>
      <c r="L188" s="306"/>
      <c r="M188" s="306"/>
      <c r="N188" s="306"/>
      <c r="O188" s="225">
        <f>SUM(Fluxo_de_Caixa_Janeiro3102013[[#This Row],[Janeiro]:[Dezembro]])</f>
        <v>0</v>
      </c>
      <c r="P188" s="195">
        <f t="shared" si="11"/>
        <v>0</v>
      </c>
      <c r="Q188" s="96">
        <v>0</v>
      </c>
      <c r="R188" s="32"/>
    </row>
    <row r="189" spans="2:18" x14ac:dyDescent="0.25">
      <c r="B189" s="385" t="str">
        <f>Fluxo_de_Caixa_Janeiro[[#This Row],[Fluxo de Caixa 2026 CTR]]</f>
        <v>3.6.07.FALTA ACERTO CAIXA</v>
      </c>
      <c r="C189" s="357"/>
      <c r="D189" s="306"/>
      <c r="E189" s="306"/>
      <c r="F189" s="306">
        <f>Fluxo_de_Caixa_Janeiro345[[#This Row],[ABRIL]]</f>
        <v>0</v>
      </c>
      <c r="G189" s="306">
        <f>Fluxo_de_Caixa_Janeiro3459[[#This Row],[MAIO]]</f>
        <v>0</v>
      </c>
      <c r="H189" s="306">
        <f>Fluxo_de_Caixa_Janeiro345911[[#This Row],[JUNHO]]</f>
        <v>0</v>
      </c>
      <c r="I189" s="357"/>
      <c r="J189" s="306"/>
      <c r="K189" s="306"/>
      <c r="L189" s="306"/>
      <c r="M189" s="306"/>
      <c r="N189" s="306"/>
      <c r="O189" s="225">
        <f>SUM(Fluxo_de_Caixa_Janeiro3102013[[#This Row],[Janeiro]:[Dezembro]])</f>
        <v>0</v>
      </c>
      <c r="P189" s="195">
        <f t="shared" si="11"/>
        <v>0</v>
      </c>
      <c r="Q189" s="96">
        <v>0</v>
      </c>
      <c r="R189" s="32"/>
    </row>
    <row r="190" spans="2:18" x14ac:dyDescent="0.25">
      <c r="B190" s="385" t="str">
        <f>Fluxo_de_Caixa_Janeiro[[#This Row],[Fluxo de Caixa 2026 CTR]]</f>
        <v>3.6.08. Juros Sobre Emprestimos</v>
      </c>
      <c r="C190" s="357"/>
      <c r="D190" s="306"/>
      <c r="E190" s="306"/>
      <c r="F190" s="306">
        <f>Fluxo_de_Caixa_Janeiro345[[#This Row],[ABRIL]]</f>
        <v>21872.959999999999</v>
      </c>
      <c r="G190" s="306">
        <f>Fluxo_de_Caixa_Janeiro3459[[#This Row],[MAIO]]</f>
        <v>48014.48</v>
      </c>
      <c r="H190" s="306">
        <f>Fluxo_de_Caixa_Janeiro345911[[#This Row],[JUNHO]]</f>
        <v>0</v>
      </c>
      <c r="I190" s="357"/>
      <c r="J190" s="306"/>
      <c r="K190" s="306"/>
      <c r="L190" s="306"/>
      <c r="M190" s="306"/>
      <c r="N190" s="306"/>
      <c r="O190" s="225">
        <f>SUM(Fluxo_de_Caixa_Janeiro3102013[[#This Row],[Janeiro]:[Dezembro]])</f>
        <v>69887.44</v>
      </c>
      <c r="P190" s="195">
        <f t="shared" si="11"/>
        <v>3.9743268755482349E-2</v>
      </c>
      <c r="Q190" s="96">
        <v>3.4266583469056203E-4</v>
      </c>
      <c r="R190" s="32"/>
    </row>
    <row r="191" spans="2:18" x14ac:dyDescent="0.25">
      <c r="B191" s="385" t="str">
        <f>Fluxo_de_Caixa_Janeiro[[#This Row],[Fluxo de Caixa 2026 CTR]]</f>
        <v>3.6.09.RECUPERACAO DE CRED DEVEDOR DUV</v>
      </c>
      <c r="C191" s="357"/>
      <c r="D191" s="306"/>
      <c r="E191" s="306"/>
      <c r="F191" s="306">
        <f>Fluxo_de_Caixa_Janeiro345[[#This Row],[ABRIL]]</f>
        <v>0</v>
      </c>
      <c r="G191" s="306">
        <f>Fluxo_de_Caixa_Janeiro3459[[#This Row],[MAIO]]</f>
        <v>0</v>
      </c>
      <c r="H191" s="306">
        <f>Fluxo_de_Caixa_Janeiro345911[[#This Row],[JUNHO]]</f>
        <v>0</v>
      </c>
      <c r="I191" s="357"/>
      <c r="J191" s="306"/>
      <c r="K191" s="306"/>
      <c r="L191" s="306"/>
      <c r="M191" s="306"/>
      <c r="N191" s="306"/>
      <c r="O191" s="225">
        <f>SUM(Fluxo_de_Caixa_Janeiro3102013[[#This Row],[Janeiro]:[Dezembro]])</f>
        <v>0</v>
      </c>
      <c r="P191" s="195">
        <f t="shared" si="11"/>
        <v>0</v>
      </c>
      <c r="Q191" s="96">
        <v>0</v>
      </c>
      <c r="R191" s="32"/>
    </row>
    <row r="192" spans="2:18" x14ac:dyDescent="0.25">
      <c r="B192" s="385" t="str">
        <f>Fluxo_de_Caixa_Janeiro[[#This Row],[Fluxo de Caixa 2026 CTR]]</f>
        <v>3.6.10.DESCONTOS OBTIDOS</v>
      </c>
      <c r="C192" s="357"/>
      <c r="D192" s="306"/>
      <c r="E192" s="306"/>
      <c r="F192" s="306">
        <f>Fluxo_de_Caixa_Janeiro345[[#This Row],[ABRIL]]</f>
        <v>0</v>
      </c>
      <c r="G192" s="306">
        <f>Fluxo_de_Caixa_Janeiro3459[[#This Row],[MAIO]]</f>
        <v>0</v>
      </c>
      <c r="H192" s="306">
        <f>Fluxo_de_Caixa_Janeiro345911[[#This Row],[JUNHO]]</f>
        <v>0</v>
      </c>
      <c r="I192" s="357"/>
      <c r="J192" s="306"/>
      <c r="K192" s="306"/>
      <c r="L192" s="306"/>
      <c r="M192" s="306"/>
      <c r="N192" s="306"/>
      <c r="O192" s="225">
        <f>SUM(Fluxo_de_Caixa_Janeiro3102013[[#This Row],[Janeiro]:[Dezembro]])</f>
        <v>0</v>
      </c>
      <c r="P192" s="195">
        <f t="shared" si="11"/>
        <v>0</v>
      </c>
      <c r="Q192" s="96">
        <v>0</v>
      </c>
      <c r="R192" s="32"/>
    </row>
    <row r="193" spans="2:18" hidden="1" x14ac:dyDescent="0.25">
      <c r="B193" s="385">
        <f>Fluxo_de_Caixa_Janeiro[[#This Row],[Fluxo de Caixa 2026 CTR]]</f>
        <v>0</v>
      </c>
      <c r="C193" s="357"/>
      <c r="D193" s="306"/>
      <c r="E193" s="306"/>
      <c r="F193" s="306">
        <f>Fluxo_de_Caixa_Janeiro345[[#This Row],[ABRIL]]</f>
        <v>0</v>
      </c>
      <c r="G193" s="306">
        <f>Fluxo_de_Caixa_Janeiro3459[[#This Row],[MAIO]]</f>
        <v>0</v>
      </c>
      <c r="H193" s="306">
        <f>Fluxo_de_Caixa_Janeiro345911[[#This Row],[JUNHO]]</f>
        <v>0</v>
      </c>
      <c r="I193" s="357"/>
      <c r="J193" s="306"/>
      <c r="K193" s="306"/>
      <c r="L193" s="306"/>
      <c r="M193" s="306"/>
      <c r="N193" s="306"/>
      <c r="O193" s="224">
        <f>SUM(Fluxo_de_Caixa_Janeiro3102013[[#This Row],[Janeiro]:[Dezembro]])</f>
        <v>0</v>
      </c>
      <c r="P193" s="194">
        <f t="shared" si="11"/>
        <v>0</v>
      </c>
      <c r="Q193" s="75">
        <v>0</v>
      </c>
      <c r="R193" s="32"/>
    </row>
    <row r="194" spans="2:18" x14ac:dyDescent="0.25">
      <c r="B194" s="169" t="str">
        <f>Fluxo_de_Caixa_Janeiro[[#This Row],[Fluxo de Caixa 2026 CTR]]</f>
        <v>3.6.12.JUROS DESCONTO DE BOLETOS</v>
      </c>
      <c r="C194" s="41"/>
      <c r="D194" s="81"/>
      <c r="E194" s="81"/>
      <c r="F194" s="81">
        <f>Fluxo_de_Caixa_Janeiro345[[#This Row],[ABRIL]]</f>
        <v>0</v>
      </c>
      <c r="G194" s="81">
        <f>Fluxo_de_Caixa_Janeiro3459[[#This Row],[MAIO]]</f>
        <v>0</v>
      </c>
      <c r="H194" s="81">
        <f>Fluxo_de_Caixa_Janeiro345911[[#This Row],[JUNHO]]</f>
        <v>0</v>
      </c>
      <c r="I194" s="41"/>
      <c r="J194" s="81"/>
      <c r="K194" s="81"/>
      <c r="L194" s="81"/>
      <c r="M194" s="81"/>
      <c r="N194" s="118"/>
      <c r="O194" s="223">
        <f>SUM(Fluxo_de_Caixa_Janeiro3102013[[#This Row],[Janeiro]:[Dezembro]])</f>
        <v>0</v>
      </c>
      <c r="P194" s="193">
        <f t="shared" si="11"/>
        <v>0</v>
      </c>
      <c r="Q194" s="93">
        <v>0</v>
      </c>
      <c r="R194" s="32" t="str">
        <f>IF(Fluxo_de_Caixa_Janeiro3102013[[#This Row],[% ACUMULADO  2º SEMEST 2026]]&lt;=Fluxo_de_Caixa_Janeiro3102013[[#This Row],[Coluna1]],"VERDADEIRO","FALSO")</f>
        <v>VERDADEIRO</v>
      </c>
    </row>
    <row r="195" spans="2:18" hidden="1" x14ac:dyDescent="0.25">
      <c r="B195" s="55">
        <f>Fluxo_de_Caixa_Janeiro[[#This Row],[Fluxo de Caixa 2026 CTR]]</f>
        <v>0</v>
      </c>
      <c r="C195" s="35"/>
      <c r="D195" s="62"/>
      <c r="E195" s="62"/>
      <c r="F195" s="62">
        <f>Fluxo_de_Caixa_Janeiro345[[#This Row],[ABRIL]]</f>
        <v>0</v>
      </c>
      <c r="G195" s="62">
        <f>Fluxo_de_Caixa_Janeiro3459[[#This Row],[MAIO]]</f>
        <v>0</v>
      </c>
      <c r="H195" s="62">
        <f>Fluxo_de_Caixa_Janeiro345911[[#This Row],[JUNHO]]</f>
        <v>0</v>
      </c>
      <c r="I195" s="35"/>
      <c r="J195" s="62"/>
      <c r="K195" s="62"/>
      <c r="L195" s="62"/>
      <c r="M195" s="62"/>
      <c r="N195" s="119"/>
      <c r="O195" s="224">
        <f>SUM(Fluxo_de_Caixa_Janeiro3102013[[#This Row],[Janeiro]:[Dezembro]])</f>
        <v>0</v>
      </c>
      <c r="P195" s="194">
        <f t="shared" si="11"/>
        <v>0</v>
      </c>
      <c r="Q195" s="75">
        <v>0</v>
      </c>
      <c r="R195" s="32" t="str">
        <f>IF(Fluxo_de_Caixa_Janeiro3102013[[#This Row],[% ACUMULADO  2º SEMEST 2026]]&lt;=Fluxo_de_Caixa_Janeiro3102013[[#This Row],[Coluna1]],"VERDADEIRO","FALSO")</f>
        <v>VERDADEIRO</v>
      </c>
    </row>
    <row r="196" spans="2:18" x14ac:dyDescent="0.25">
      <c r="B196" s="55" t="str">
        <f>Fluxo_de_Caixa_Janeiro[[#This Row],[Fluxo de Caixa 2026 CTR]]</f>
        <v>3.6.14. JUROS ANTEC. CARTÕES CRED/DEBITO</v>
      </c>
      <c r="C196" s="35"/>
      <c r="D196" s="62"/>
      <c r="E196" s="62"/>
      <c r="F196" s="62">
        <f>Fluxo_de_Caixa_Janeiro345[[#This Row],[ABRIL]]</f>
        <v>0</v>
      </c>
      <c r="G196" s="62">
        <f>Fluxo_de_Caixa_Janeiro3459[[#This Row],[MAIO]]</f>
        <v>0</v>
      </c>
      <c r="H196" s="62">
        <f>Fluxo_de_Caixa_Janeiro345911[[#This Row],[JUNHO]]</f>
        <v>0</v>
      </c>
      <c r="I196" s="35"/>
      <c r="J196" s="62"/>
      <c r="K196" s="62"/>
      <c r="L196" s="62"/>
      <c r="M196" s="62"/>
      <c r="N196" s="119"/>
      <c r="O196" s="224">
        <f>SUM(Fluxo_de_Caixa_Janeiro3102013[[#This Row],[Janeiro]:[Dezembro]])</f>
        <v>0</v>
      </c>
      <c r="P196" s="194">
        <f t="shared" si="11"/>
        <v>0</v>
      </c>
      <c r="Q196" s="75">
        <v>8.547053046322965E-5</v>
      </c>
      <c r="R196" s="32" t="str">
        <f>IF(Fluxo_de_Caixa_Janeiro3102013[[#This Row],[% ACUMULADO  2º SEMEST 2026]]&lt;=Fluxo_de_Caixa_Janeiro3102013[[#This Row],[Coluna1]],"VERDADEIRO","FALSO")</f>
        <v>VERDADEIRO</v>
      </c>
    </row>
    <row r="197" spans="2:18" x14ac:dyDescent="0.25">
      <c r="B197" s="55" t="str">
        <f>Fluxo_de_Caixa_Janeiro[[#This Row],[Fluxo de Caixa 2026 CTR]]</f>
        <v>3.6.15. IRRF Sobre Aplicação Financeira</v>
      </c>
      <c r="C197" s="35"/>
      <c r="D197" s="62"/>
      <c r="E197" s="62"/>
      <c r="F197" s="62">
        <f>Fluxo_de_Caixa_Janeiro345[[#This Row],[ABRIL]]</f>
        <v>0</v>
      </c>
      <c r="G197" s="62">
        <f>Fluxo_de_Caixa_Janeiro3459[[#This Row],[MAIO]]</f>
        <v>0</v>
      </c>
      <c r="H197" s="62">
        <f>Fluxo_de_Caixa_Janeiro345911[[#This Row],[JUNHO]]</f>
        <v>0</v>
      </c>
      <c r="I197" s="35"/>
      <c r="J197" s="62"/>
      <c r="K197" s="62"/>
      <c r="L197" s="62"/>
      <c r="M197" s="62"/>
      <c r="N197" s="119"/>
      <c r="O197" s="224">
        <f>SUM(Fluxo_de_Caixa_Janeiro3102013[[#This Row],[Janeiro]:[Dezembro]])</f>
        <v>0</v>
      </c>
      <c r="P197" s="194">
        <f t="shared" si="11"/>
        <v>0</v>
      </c>
      <c r="Q197" s="75">
        <v>0</v>
      </c>
      <c r="R197" s="32" t="str">
        <f>IF(Fluxo_de_Caixa_Janeiro3102013[[#This Row],[% ACUMULADO  2º SEMEST 2026]]&lt;=Fluxo_de_Caixa_Janeiro3102013[[#This Row],[Coluna1]],"VERDADEIRO","FALSO")</f>
        <v>VERDADEIRO</v>
      </c>
    </row>
    <row r="198" spans="2:18" x14ac:dyDescent="0.25">
      <c r="B198" s="55" t="str">
        <f>Fluxo_de_Caixa_Janeiro[[#This Row],[Fluxo de Caixa 2026 CTR]]</f>
        <v>3.6.16.DESCONTOS FINANCEIROS</v>
      </c>
      <c r="C198" s="35"/>
      <c r="D198" s="62"/>
      <c r="E198" s="62"/>
      <c r="F198" s="62">
        <f>Fluxo_de_Caixa_Janeiro345[[#This Row],[ABRIL]]</f>
        <v>0</v>
      </c>
      <c r="G198" s="62">
        <f>Fluxo_de_Caixa_Janeiro3459[[#This Row],[MAIO]]</f>
        <v>0</v>
      </c>
      <c r="H198" s="62">
        <f>Fluxo_de_Caixa_Janeiro345911[[#This Row],[JUNHO]]</f>
        <v>0</v>
      </c>
      <c r="I198" s="35"/>
      <c r="J198" s="62"/>
      <c r="K198" s="62"/>
      <c r="L198" s="62"/>
      <c r="M198" s="62"/>
      <c r="N198" s="119"/>
      <c r="O198" s="224">
        <f>SUM(Fluxo_de_Caixa_Janeiro3102013[[#This Row],[Janeiro]:[Dezembro]])</f>
        <v>0</v>
      </c>
      <c r="P198" s="194">
        <f t="shared" si="11"/>
        <v>0</v>
      </c>
      <c r="Q198" s="75">
        <v>0</v>
      </c>
      <c r="R198" s="32" t="str">
        <f>IF(Fluxo_de_Caixa_Janeiro3102013[[#This Row],[% ACUMULADO  2º SEMEST 2026]]&lt;=Fluxo_de_Caixa_Janeiro3102013[[#This Row],[Coluna1]],"VERDADEIRO","FALSO")</f>
        <v>VERDADEIRO</v>
      </c>
    </row>
    <row r="199" spans="2:18" ht="15.75" thickBot="1" x14ac:dyDescent="0.3">
      <c r="B199" s="387" t="str">
        <f>Fluxo_de_Caixa_Janeiro[[#This Row],[Fluxo de Caixa 2026 CTR]]</f>
        <v>3.6.17.JUROS DESCONTO DE BOLETOS</v>
      </c>
      <c r="C199" s="36"/>
      <c r="D199" s="82"/>
      <c r="E199" s="82"/>
      <c r="F199" s="82">
        <f>Fluxo_de_Caixa_Janeiro345[[#This Row],[ABRIL]]</f>
        <v>0</v>
      </c>
      <c r="G199" s="82">
        <f>Fluxo_de_Caixa_Janeiro3459[[#This Row],[MAIO]]</f>
        <v>0</v>
      </c>
      <c r="H199" s="82">
        <f>Fluxo_de_Caixa_Janeiro345911[[#This Row],[JUNHO]]</f>
        <v>0</v>
      </c>
      <c r="I199" s="36"/>
      <c r="J199" s="82"/>
      <c r="K199" s="82"/>
      <c r="L199" s="82"/>
      <c r="M199" s="82"/>
      <c r="N199" s="120"/>
      <c r="O199" s="225">
        <f>SUM(Fluxo_de_Caixa_Janeiro3102013[[#This Row],[Janeiro]:[Dezembro]])</f>
        <v>0</v>
      </c>
      <c r="P199" s="195">
        <f t="shared" si="11"/>
        <v>0</v>
      </c>
      <c r="Q199" s="96">
        <v>0</v>
      </c>
      <c r="R199" s="32" t="str">
        <f>IF(Fluxo_de_Caixa_Janeiro3102013[[#This Row],[% ACUMULADO  2º SEMEST 2026]]&lt;=Fluxo_de_Caixa_Janeiro3102013[[#This Row],[Coluna1]],"VERDADEIRO","FALSO")</f>
        <v>VERDADEIRO</v>
      </c>
    </row>
    <row r="200" spans="2:18" ht="19.5" thickBot="1" x14ac:dyDescent="0.35">
      <c r="B200" s="277" t="str">
        <f>Fluxo_de_Caixa_Janeiro[[#This Row],[Fluxo de Caixa 2026 CTR]]</f>
        <v>3.7. DESPESAS COM VEICULOS</v>
      </c>
      <c r="C200" s="158"/>
      <c r="D200" s="97"/>
      <c r="E200" s="97"/>
      <c r="F200" s="97">
        <f>Fluxo_de_Caixa_Janeiro345[[#This Row],[ABRIL]]</f>
        <v>-12626.79</v>
      </c>
      <c r="G200" s="97">
        <f>Fluxo_de_Caixa_Janeiro3459[[#This Row],[MAIO]]</f>
        <v>-14044.69</v>
      </c>
      <c r="H200" s="97">
        <f>Fluxo_de_Caixa_Janeiro345911[[#This Row],[JUNHO]]</f>
        <v>0</v>
      </c>
      <c r="I200" s="158"/>
      <c r="J200" s="97"/>
      <c r="K200" s="97"/>
      <c r="L200" s="97"/>
      <c r="M200" s="97"/>
      <c r="N200" s="129"/>
      <c r="O200" s="226">
        <f>SUM(Fluxo_de_Caixa_Janeiro3102013[[#This Row],[Janeiro]:[Dezembro]])</f>
        <v>-26671.480000000003</v>
      </c>
      <c r="P200" s="144">
        <f>-IFERROR(C200/$C$27,"0,00")</f>
        <v>0</v>
      </c>
      <c r="Q200" s="98">
        <v>0</v>
      </c>
      <c r="R200" s="32" t="str">
        <f>IF(Fluxo_de_Caixa_Janeiro3102013[[#This Row],[% ACUMULADO  2º SEMEST 2026]]&lt;=Fluxo_de_Caixa_Janeiro3102013[[#This Row],[Coluna1]],"VERDADEIRO","FALSO")</f>
        <v>VERDADEIRO</v>
      </c>
    </row>
    <row r="201" spans="2:18" x14ac:dyDescent="0.25">
      <c r="B201" s="388" t="str">
        <f>Fluxo_de_Caixa_Janeiro[[#This Row],[Fluxo de Caixa 2026 CTR]]</f>
        <v>3.7.01. Combustível e Lubrificantes</v>
      </c>
      <c r="C201" s="41"/>
      <c r="D201" s="81"/>
      <c r="E201" s="81"/>
      <c r="F201" s="81">
        <f>Fluxo_de_Caixa_Janeiro345[[#This Row],[ABRIL]]</f>
        <v>3694.4700000000003</v>
      </c>
      <c r="G201" s="81">
        <f>Fluxo_de_Caixa_Janeiro3459[[#This Row],[MAIO]]</f>
        <v>4920.66</v>
      </c>
      <c r="H201" s="81">
        <f>Fluxo_de_Caixa_Janeiro345911[[#This Row],[JUNHO]]</f>
        <v>0</v>
      </c>
      <c r="I201" s="41"/>
      <c r="J201" s="81"/>
      <c r="K201" s="81"/>
      <c r="L201" s="81"/>
      <c r="M201" s="81"/>
      <c r="N201" s="118"/>
      <c r="O201" s="223">
        <f>SUM(Fluxo_de_Caixa_Janeiro3102013[[#This Row],[Janeiro]:[Dezembro]])</f>
        <v>8615.130000000001</v>
      </c>
      <c r="P201" s="193">
        <f t="shared" ref="P201:P211" si="12">IFERROR(O201/$O$27,"0,00%")</f>
        <v>4.899212604631371E-3</v>
      </c>
      <c r="Q201" s="93">
        <v>5.1211921616030167E-3</v>
      </c>
      <c r="R201" s="32" t="str">
        <f>IF(Fluxo_de_Caixa_Janeiro3102013[[#This Row],[% ACUMULADO  2º SEMEST 2026]]&lt;=Fluxo_de_Caixa_Janeiro3102013[[#This Row],[Coluna1]],"VERDADEIRO","FALSO")</f>
        <v>VERDADEIRO</v>
      </c>
    </row>
    <row r="202" spans="2:18" x14ac:dyDescent="0.25">
      <c r="B202" s="378" t="str">
        <f>Fluxo_de_Caixa_Janeiro[[#This Row],[Fluxo de Caixa 2026 CTR]]</f>
        <v xml:space="preserve">3.7.02. Manutenção Veicular </v>
      </c>
      <c r="C202" s="357"/>
      <c r="D202" s="306"/>
      <c r="E202" s="306"/>
      <c r="F202" s="306">
        <f>Fluxo_de_Caixa_Janeiro345[[#This Row],[ABRIL]]</f>
        <v>70</v>
      </c>
      <c r="G202" s="306">
        <f>Fluxo_de_Caixa_Janeiro3459[[#This Row],[MAIO]]</f>
        <v>250</v>
      </c>
      <c r="H202" s="306">
        <f>Fluxo_de_Caixa_Janeiro345911[[#This Row],[JUNHO]]</f>
        <v>0</v>
      </c>
      <c r="I202" s="357"/>
      <c r="J202" s="306"/>
      <c r="K202" s="306"/>
      <c r="L202" s="306"/>
      <c r="M202" s="306"/>
      <c r="N202" s="360"/>
      <c r="O202" s="223">
        <f>SUM(Fluxo_de_Caixa_Janeiro3102013[[#This Row],[Janeiro]:[Dezembro]])</f>
        <v>320</v>
      </c>
      <c r="P202" s="193">
        <f t="shared" si="12"/>
        <v>1.8197613193092138E-4</v>
      </c>
      <c r="Q202" s="93">
        <v>7.0947552451975314E-4</v>
      </c>
      <c r="R202" s="32"/>
    </row>
    <row r="203" spans="2:18" x14ac:dyDescent="0.25">
      <c r="B203" s="378" t="str">
        <f>Fluxo_de_Caixa_Janeiro[[#This Row],[Fluxo de Caixa 2026 CTR]]</f>
        <v xml:space="preserve">3.7.03. IPVA e outras taxas </v>
      </c>
      <c r="C203" s="369"/>
      <c r="D203" s="370"/>
      <c r="E203" s="370"/>
      <c r="F203" s="370">
        <f>Fluxo_de_Caixa_Janeiro345[[#This Row],[ABRIL]]</f>
        <v>0</v>
      </c>
      <c r="G203" s="370">
        <f>Fluxo_de_Caixa_Janeiro3459[[#This Row],[MAIO]]</f>
        <v>0</v>
      </c>
      <c r="H203" s="370">
        <f>Fluxo_de_Caixa_Janeiro345911[[#This Row],[JUNHO]]</f>
        <v>0</v>
      </c>
      <c r="I203" s="369"/>
      <c r="J203" s="370"/>
      <c r="K203" s="370"/>
      <c r="L203" s="370"/>
      <c r="M203" s="370"/>
      <c r="N203" s="371"/>
      <c r="O203" s="223">
        <f>SUM(Fluxo_de_Caixa_Janeiro3102013[[#This Row],[Janeiro]:[Dezembro]])</f>
        <v>0</v>
      </c>
      <c r="P203" s="193">
        <f t="shared" si="12"/>
        <v>0</v>
      </c>
      <c r="Q203" s="93">
        <v>3.9556874278949815E-4</v>
      </c>
      <c r="R203" s="32"/>
    </row>
    <row r="204" spans="2:18" x14ac:dyDescent="0.25">
      <c r="B204" s="378" t="str">
        <f>Fluxo_de_Caixa_Janeiro[[#This Row],[Fluxo de Caixa 2026 CTR]]</f>
        <v>3.7.04. Multa</v>
      </c>
      <c r="C204" s="369"/>
      <c r="D204" s="370"/>
      <c r="E204" s="370"/>
      <c r="F204" s="370">
        <f>Fluxo_de_Caixa_Janeiro345[[#This Row],[ABRIL]]</f>
        <v>124.96</v>
      </c>
      <c r="G204" s="370">
        <f>Fluxo_de_Caixa_Janeiro3459[[#This Row],[MAIO]]</f>
        <v>136.66999999999999</v>
      </c>
      <c r="H204" s="370">
        <f>Fluxo_de_Caixa_Janeiro345911[[#This Row],[JUNHO]]</f>
        <v>0</v>
      </c>
      <c r="I204" s="369"/>
      <c r="J204" s="370"/>
      <c r="K204" s="370"/>
      <c r="L204" s="370"/>
      <c r="M204" s="370"/>
      <c r="N204" s="371"/>
      <c r="O204" s="223">
        <f>SUM(Fluxo_de_Caixa_Janeiro3102013[[#This Row],[Janeiro]:[Dezembro]])</f>
        <v>261.63</v>
      </c>
      <c r="P204" s="193">
        <f t="shared" si="12"/>
        <v>1.4878254811589675E-4</v>
      </c>
      <c r="Q204" s="93">
        <v>0</v>
      </c>
      <c r="R204" s="32"/>
    </row>
    <row r="205" spans="2:18" x14ac:dyDescent="0.25">
      <c r="B205" s="378" t="str">
        <f>Fluxo_de_Caixa_Janeiro[[#This Row],[Fluxo de Caixa 2026 CTR]]</f>
        <v>3.7.05. Despesas com Estacionamento</v>
      </c>
      <c r="C205" s="369"/>
      <c r="D205" s="370"/>
      <c r="E205" s="370"/>
      <c r="F205" s="370">
        <f>Fluxo_de_Caixa_Janeiro345[[#This Row],[ABRIL]]</f>
        <v>0</v>
      </c>
      <c r="G205" s="370">
        <f>Fluxo_de_Caixa_Janeiro3459[[#This Row],[MAIO]]</f>
        <v>0</v>
      </c>
      <c r="H205" s="370">
        <f>Fluxo_de_Caixa_Janeiro345911[[#This Row],[JUNHO]]</f>
        <v>0</v>
      </c>
      <c r="I205" s="369"/>
      <c r="J205" s="370"/>
      <c r="K205" s="370"/>
      <c r="L205" s="370"/>
      <c r="M205" s="370"/>
      <c r="N205" s="371"/>
      <c r="O205" s="223">
        <f>SUM(Fluxo_de_Caixa_Janeiro3102013[[#This Row],[Janeiro]:[Dezembro]])</f>
        <v>0</v>
      </c>
      <c r="P205" s="193">
        <f t="shared" si="12"/>
        <v>0</v>
      </c>
      <c r="Q205" s="93">
        <v>0</v>
      </c>
      <c r="R205" s="32"/>
    </row>
    <row r="206" spans="2:18" x14ac:dyDescent="0.25">
      <c r="B206" s="378" t="str">
        <f>Fluxo_de_Caixa_Janeiro[[#This Row],[Fluxo de Caixa 2026 CTR]]</f>
        <v>3.7.06. Aluguel de Veículo</v>
      </c>
      <c r="C206" s="369"/>
      <c r="D206" s="370"/>
      <c r="E206" s="370"/>
      <c r="F206" s="370">
        <f>Fluxo_de_Caixa_Janeiro345[[#This Row],[ABRIL]]</f>
        <v>8617.36</v>
      </c>
      <c r="G206" s="370">
        <f>Fluxo_de_Caixa_Janeiro3459[[#This Row],[MAIO]]</f>
        <v>8617.36</v>
      </c>
      <c r="H206" s="370">
        <f>Fluxo_de_Caixa_Janeiro345911[[#This Row],[JUNHO]]</f>
        <v>0</v>
      </c>
      <c r="I206" s="369"/>
      <c r="J206" s="370"/>
      <c r="K206" s="370"/>
      <c r="L206" s="370"/>
      <c r="M206" s="370"/>
      <c r="N206" s="371"/>
      <c r="O206" s="223">
        <f>SUM(Fluxo_de_Caixa_Janeiro3102013[[#This Row],[Janeiro]:[Dezembro]])</f>
        <v>17234.72</v>
      </c>
      <c r="P206" s="193">
        <f t="shared" si="12"/>
        <v>9.8009615016015298E-3</v>
      </c>
      <c r="Q206" s="93">
        <v>5.3685841806857919E-3</v>
      </c>
      <c r="R206" s="32"/>
    </row>
    <row r="207" spans="2:18" x14ac:dyDescent="0.25">
      <c r="B207" s="378" t="str">
        <f>Fluxo_de_Caixa_Janeiro[[#This Row],[Fluxo de Caixa 2026 CTR]]</f>
        <v>3.7.07.RASTREAMENTO POR GPS</v>
      </c>
      <c r="C207" s="366"/>
      <c r="D207" s="367"/>
      <c r="E207" s="367"/>
      <c r="F207" s="367">
        <f>Fluxo_de_Caixa_Janeiro345[[#This Row],[ABRIL]]</f>
        <v>120</v>
      </c>
      <c r="G207" s="367">
        <f>Fluxo_de_Caixa_Janeiro3459[[#This Row],[MAIO]]</f>
        <v>120</v>
      </c>
      <c r="H207" s="367">
        <f>Fluxo_de_Caixa_Janeiro345911[[#This Row],[JUNHO]]</f>
        <v>0</v>
      </c>
      <c r="I207" s="366"/>
      <c r="J207" s="367"/>
      <c r="K207" s="367"/>
      <c r="L207" s="367"/>
      <c r="M207" s="367"/>
      <c r="N207" s="368"/>
      <c r="O207" s="223">
        <f>SUM(Fluxo_de_Caixa_Janeiro3102013[[#This Row],[Janeiro]:[Dezembro]])</f>
        <v>240</v>
      </c>
      <c r="P207" s="193">
        <f t="shared" si="12"/>
        <v>1.3648209894819103E-4</v>
      </c>
      <c r="Q207" s="93">
        <v>0</v>
      </c>
      <c r="R207" s="32"/>
    </row>
    <row r="208" spans="2:18" x14ac:dyDescent="0.25">
      <c r="B208" s="378" t="str">
        <f>Fluxo_de_Caixa_Janeiro[[#This Row],[Fluxo de Caixa 2026 CTR]]</f>
        <v>3.7.08. Seguro Veicular</v>
      </c>
      <c r="C208" s="357"/>
      <c r="D208" s="306"/>
      <c r="E208" s="306"/>
      <c r="F208" s="306">
        <f>Fluxo_de_Caixa_Janeiro345[[#This Row],[ABRIL]]</f>
        <v>0</v>
      </c>
      <c r="G208" s="306">
        <f>Fluxo_de_Caixa_Janeiro3459[[#This Row],[MAIO]]</f>
        <v>0</v>
      </c>
      <c r="H208" s="306">
        <f>Fluxo_de_Caixa_Janeiro345911[[#This Row],[JUNHO]]</f>
        <v>0</v>
      </c>
      <c r="I208" s="357"/>
      <c r="J208" s="306"/>
      <c r="K208" s="306"/>
      <c r="L208" s="306"/>
      <c r="M208" s="306"/>
      <c r="N208" s="360"/>
      <c r="O208" s="223">
        <f>SUM(Fluxo_de_Caixa_Janeiro3102013[[#This Row],[Janeiro]:[Dezembro]])</f>
        <v>0</v>
      </c>
      <c r="P208" s="193">
        <f t="shared" si="12"/>
        <v>0</v>
      </c>
      <c r="Q208" s="93">
        <v>1.0962355183387793E-3</v>
      </c>
      <c r="R208" s="32"/>
    </row>
    <row r="209" spans="2:18" ht="15.75" thickBot="1" x14ac:dyDescent="0.3">
      <c r="B209" s="378" t="str">
        <f>Fluxo_de_Caixa_Janeiro[[#This Row],[Fluxo de Caixa 2026 CTR]]</f>
        <v>3.7.09.PEDAGIO E TRAVESSIA DE BALSA</v>
      </c>
      <c r="C209" s="369"/>
      <c r="D209" s="370"/>
      <c r="E209" s="370"/>
      <c r="F209" s="370">
        <f>Fluxo_de_Caixa_Janeiro345[[#This Row],[ABRIL]]</f>
        <v>0</v>
      </c>
      <c r="G209" s="370">
        <f>Fluxo_de_Caixa_Janeiro3459[[#This Row],[MAIO]]</f>
        <v>0</v>
      </c>
      <c r="H209" s="370">
        <f>Fluxo_de_Caixa_Janeiro345911[[#This Row],[JUNHO]]</f>
        <v>0</v>
      </c>
      <c r="I209" s="369"/>
      <c r="J209" s="370"/>
      <c r="K209" s="370"/>
      <c r="L209" s="370"/>
      <c r="M209" s="370"/>
      <c r="N209" s="371"/>
      <c r="O209" s="223">
        <f>SUM(Fluxo_de_Caixa_Janeiro3102013[[#This Row],[Janeiro]:[Dezembro]])</f>
        <v>0</v>
      </c>
      <c r="P209" s="193">
        <f t="shared" si="12"/>
        <v>0</v>
      </c>
      <c r="Q209" s="93">
        <v>7.882959536530376E-6</v>
      </c>
      <c r="R209" s="32"/>
    </row>
    <row r="210" spans="2:18" hidden="1" x14ac:dyDescent="0.25">
      <c r="B210" s="378">
        <f>Fluxo_de_Caixa_Janeiro[[#This Row],[Fluxo de Caixa 2026 CTR]]</f>
        <v>0</v>
      </c>
      <c r="C210" s="369"/>
      <c r="D210" s="370"/>
      <c r="E210" s="370"/>
      <c r="F210" s="370">
        <f>Fluxo_de_Caixa_Janeiro345[[#This Row],[ABRIL]]</f>
        <v>0</v>
      </c>
      <c r="G210" s="370">
        <f>Fluxo_de_Caixa_Janeiro3459[[#This Row],[MAIO]]</f>
        <v>0</v>
      </c>
      <c r="H210" s="370">
        <f>Fluxo_de_Caixa_Janeiro345911[[#This Row],[JUNHO]]</f>
        <v>0</v>
      </c>
      <c r="I210" s="369"/>
      <c r="J210" s="370"/>
      <c r="K210" s="370"/>
      <c r="L210" s="370"/>
      <c r="M210" s="370"/>
      <c r="N210" s="371"/>
      <c r="O210" s="223">
        <f>SUM(Fluxo_de_Caixa_Janeiro3102013[[#This Row],[Janeiro]:[Dezembro]])</f>
        <v>0</v>
      </c>
      <c r="P210" s="193">
        <f t="shared" si="12"/>
        <v>0</v>
      </c>
      <c r="Q210" s="93">
        <v>0</v>
      </c>
      <c r="R210" s="32"/>
    </row>
    <row r="211" spans="2:18" ht="15.75" hidden="1" thickBot="1" x14ac:dyDescent="0.3">
      <c r="B211" s="389">
        <f>Fluxo_de_Caixa_Janeiro[[#This Row],[Fluxo de Caixa 2026 CTR]]</f>
        <v>0</v>
      </c>
      <c r="C211" s="366"/>
      <c r="D211" s="367"/>
      <c r="E211" s="367"/>
      <c r="F211" s="367">
        <f>Fluxo_de_Caixa_Janeiro345[[#This Row],[ABRIL]]</f>
        <v>0</v>
      </c>
      <c r="G211" s="367">
        <f>Fluxo_de_Caixa_Janeiro3459[[#This Row],[MAIO]]</f>
        <v>0</v>
      </c>
      <c r="H211" s="367">
        <f>Fluxo_de_Caixa_Janeiro345911[[#This Row],[JUNHO]]</f>
        <v>0</v>
      </c>
      <c r="I211" s="366"/>
      <c r="J211" s="367"/>
      <c r="K211" s="367"/>
      <c r="L211" s="367"/>
      <c r="M211" s="367"/>
      <c r="N211" s="368"/>
      <c r="O211" s="223">
        <f>SUM(Fluxo_de_Caixa_Janeiro3102013[[#This Row],[Janeiro]:[Dezembro]])</f>
        <v>0</v>
      </c>
      <c r="P211" s="193">
        <f t="shared" si="12"/>
        <v>0</v>
      </c>
      <c r="Q211" s="93">
        <v>0</v>
      </c>
      <c r="R211" s="32"/>
    </row>
    <row r="212" spans="2:18" ht="19.5" thickBot="1" x14ac:dyDescent="0.35">
      <c r="B212" s="277" t="str">
        <f>Fluxo_de_Caixa_Janeiro[[#This Row],[Fluxo de Caixa 2026 CTR]]</f>
        <v>3.8. IMPOSTOS ADMINISTRATIVOS</v>
      </c>
      <c r="C212" s="158"/>
      <c r="D212" s="97"/>
      <c r="E212" s="97"/>
      <c r="F212" s="97">
        <f>Fluxo_de_Caixa_Janeiro345[[#This Row],[ABRIL]]</f>
        <v>0</v>
      </c>
      <c r="G212" s="97">
        <f>Fluxo_de_Caixa_Janeiro3459[[#This Row],[MAIO]]</f>
        <v>0</v>
      </c>
      <c r="H212" s="97">
        <f>Fluxo_de_Caixa_Janeiro345911[[#This Row],[JUNHO]]</f>
        <v>0</v>
      </c>
      <c r="I212" s="158"/>
      <c r="J212" s="97"/>
      <c r="K212" s="97"/>
      <c r="L212" s="97"/>
      <c r="M212" s="97"/>
      <c r="N212" s="129"/>
      <c r="O212" s="226">
        <f>SUM(Fluxo_de_Caixa_Janeiro3102013[[#This Row],[Janeiro]:[Dezembro]])</f>
        <v>0</v>
      </c>
      <c r="P212" s="144">
        <f>-IFERROR(C212/$C$27,"0,00")</f>
        <v>0</v>
      </c>
      <c r="Q212" s="98">
        <v>0</v>
      </c>
      <c r="R212" s="32"/>
    </row>
    <row r="213" spans="2:18" hidden="1" x14ac:dyDescent="0.25">
      <c r="B213" s="390">
        <f>Fluxo_de_Caixa_Janeiro[[#This Row],[Fluxo de Caixa 2026 CTR]]</f>
        <v>0</v>
      </c>
      <c r="C213" s="369"/>
      <c r="D213" s="370"/>
      <c r="E213" s="370"/>
      <c r="F213" s="370">
        <f>Fluxo_de_Caixa_Janeiro345[[#This Row],[ABRIL]]</f>
        <v>0</v>
      </c>
      <c r="G213" s="370">
        <f>Fluxo_de_Caixa_Janeiro3459[[#This Row],[MAIO]]</f>
        <v>0</v>
      </c>
      <c r="H213" s="370">
        <f>Fluxo_de_Caixa_Janeiro345911[[#This Row],[JUNHO]]</f>
        <v>0</v>
      </c>
      <c r="I213" s="369"/>
      <c r="J213" s="370"/>
      <c r="K213" s="370"/>
      <c r="L213" s="370"/>
      <c r="M213" s="370"/>
      <c r="N213" s="371"/>
      <c r="O213" s="396">
        <f>SUM(Fluxo_de_Caixa_Janeiro3102013[[#This Row],[Janeiro]:[Dezembro]])</f>
        <v>0</v>
      </c>
      <c r="P213" s="398"/>
      <c r="Q213" s="399"/>
      <c r="R213" s="32"/>
    </row>
    <row r="214" spans="2:18" hidden="1" x14ac:dyDescent="0.25">
      <c r="B214" s="378">
        <f>Fluxo_de_Caixa_Janeiro[[#This Row],[Fluxo de Caixa 2026 CTR]]</f>
        <v>0</v>
      </c>
      <c r="C214" s="357"/>
      <c r="D214" s="306"/>
      <c r="E214" s="306"/>
      <c r="F214" s="306">
        <f>Fluxo_de_Caixa_Janeiro345[[#This Row],[ABRIL]]</f>
        <v>0</v>
      </c>
      <c r="G214" s="306">
        <f>Fluxo_de_Caixa_Janeiro3459[[#This Row],[MAIO]]</f>
        <v>0</v>
      </c>
      <c r="H214" s="306">
        <f>Fluxo_de_Caixa_Janeiro345911[[#This Row],[JUNHO]]</f>
        <v>0</v>
      </c>
      <c r="I214" s="357"/>
      <c r="J214" s="306"/>
      <c r="K214" s="306"/>
      <c r="L214" s="306"/>
      <c r="M214" s="306"/>
      <c r="N214" s="306"/>
      <c r="O214" s="396">
        <f>SUM(Fluxo_de_Caixa_Janeiro3102013[[#This Row],[Janeiro]:[Dezembro]])</f>
        <v>0</v>
      </c>
      <c r="P214" s="398"/>
      <c r="Q214" s="399"/>
      <c r="R214" s="32"/>
    </row>
    <row r="215" spans="2:18" x14ac:dyDescent="0.25">
      <c r="B215" s="378" t="str">
        <f>Fluxo_de_Caixa_Janeiro[[#This Row],[Fluxo de Caixa 2026 CTR]]</f>
        <v xml:space="preserve">3.8.03.ICMS-DIFERENCIAL DE ALIQUOTA </v>
      </c>
      <c r="C215" s="357"/>
      <c r="D215" s="306"/>
      <c r="E215" s="306"/>
      <c r="F215" s="306">
        <f>Fluxo_de_Caixa_Janeiro345[[#This Row],[ABRIL]]</f>
        <v>0</v>
      </c>
      <c r="G215" s="306">
        <f>Fluxo_de_Caixa_Janeiro3459[[#This Row],[MAIO]]</f>
        <v>0</v>
      </c>
      <c r="H215" s="306">
        <f>Fluxo_de_Caixa_Janeiro345911[[#This Row],[JUNHO]]</f>
        <v>0</v>
      </c>
      <c r="I215" s="357"/>
      <c r="J215" s="306"/>
      <c r="K215" s="306"/>
      <c r="L215" s="306"/>
      <c r="M215" s="306"/>
      <c r="N215" s="306"/>
      <c r="O215" s="396">
        <f>SUM(Fluxo_de_Caixa_Janeiro3102013[[#This Row],[Janeiro]:[Dezembro]])</f>
        <v>0</v>
      </c>
      <c r="P215" s="398"/>
      <c r="Q215" s="399"/>
      <c r="R215" s="32"/>
    </row>
    <row r="216" spans="2:18" hidden="1" x14ac:dyDescent="0.25">
      <c r="B216" s="378">
        <f>Fluxo_de_Caixa_Janeiro[[#This Row],[Fluxo de Caixa 2026 CTR]]</f>
        <v>0</v>
      </c>
      <c r="C216" s="357"/>
      <c r="D216" s="306"/>
      <c r="E216" s="306"/>
      <c r="F216" s="306">
        <f>Fluxo_de_Caixa_Janeiro345[[#This Row],[ABRIL]]</f>
        <v>0</v>
      </c>
      <c r="G216" s="306">
        <f>Fluxo_de_Caixa_Janeiro3459[[#This Row],[MAIO]]</f>
        <v>0</v>
      </c>
      <c r="H216" s="306">
        <f>Fluxo_de_Caixa_Janeiro345911[[#This Row],[JUNHO]]</f>
        <v>0</v>
      </c>
      <c r="I216" s="357"/>
      <c r="J216" s="306"/>
      <c r="K216" s="306"/>
      <c r="L216" s="306"/>
      <c r="M216" s="306"/>
      <c r="N216" s="306"/>
      <c r="O216" s="396">
        <f>SUM(Fluxo_de_Caixa_Janeiro3102013[[#This Row],[Janeiro]:[Dezembro]])</f>
        <v>0</v>
      </c>
      <c r="P216" s="398"/>
      <c r="Q216" s="399"/>
      <c r="R216" s="32"/>
    </row>
    <row r="217" spans="2:18" x14ac:dyDescent="0.25">
      <c r="B217" s="378" t="str">
        <f>Fluxo_de_Caixa_Janeiro[[#This Row],[Fluxo de Caixa 2026 CTR]]</f>
        <v>3.8.05. IR</v>
      </c>
      <c r="C217" s="357"/>
      <c r="D217" s="306"/>
      <c r="E217" s="306"/>
      <c r="F217" s="306">
        <f>Fluxo_de_Caixa_Janeiro345[[#This Row],[ABRIL]]</f>
        <v>0</v>
      </c>
      <c r="G217" s="306">
        <f>Fluxo_de_Caixa_Janeiro3459[[#This Row],[MAIO]]</f>
        <v>0</v>
      </c>
      <c r="H217" s="306">
        <f>Fluxo_de_Caixa_Janeiro345911[[#This Row],[JUNHO]]</f>
        <v>0</v>
      </c>
      <c r="I217" s="357"/>
      <c r="J217" s="306"/>
      <c r="K217" s="306"/>
      <c r="L217" s="306"/>
      <c r="M217" s="306"/>
      <c r="N217" s="306"/>
      <c r="O217" s="396">
        <f>SUM(Fluxo_de_Caixa_Janeiro3102013[[#This Row],[Janeiro]:[Dezembro]])</f>
        <v>0</v>
      </c>
      <c r="P217" s="398"/>
      <c r="Q217" s="399"/>
      <c r="R217" s="32"/>
    </row>
    <row r="218" spans="2:18" x14ac:dyDescent="0.25">
      <c r="B218" s="378" t="str">
        <f>Fluxo_de_Caixa_Janeiro[[#This Row],[Fluxo de Caixa 2026 CTR]]</f>
        <v>3.8.06. CSLL</v>
      </c>
      <c r="C218" s="357"/>
      <c r="D218" s="306"/>
      <c r="E218" s="306"/>
      <c r="F218" s="306">
        <f>Fluxo_de_Caixa_Janeiro345[[#This Row],[ABRIL]]</f>
        <v>0</v>
      </c>
      <c r="G218" s="306">
        <f>Fluxo_de_Caixa_Janeiro3459[[#This Row],[MAIO]]</f>
        <v>0</v>
      </c>
      <c r="H218" s="306">
        <f>Fluxo_de_Caixa_Janeiro345911[[#This Row],[JUNHO]]</f>
        <v>0</v>
      </c>
      <c r="I218" s="357"/>
      <c r="J218" s="306"/>
      <c r="K218" s="306"/>
      <c r="L218" s="306"/>
      <c r="M218" s="306"/>
      <c r="N218" s="306"/>
      <c r="O218" s="396">
        <f>SUM(Fluxo_de_Caixa_Janeiro3102013[[#This Row],[Janeiro]:[Dezembro]])</f>
        <v>0</v>
      </c>
      <c r="P218" s="398"/>
      <c r="Q218" s="399"/>
      <c r="R218" s="32"/>
    </row>
    <row r="219" spans="2:18" x14ac:dyDescent="0.25">
      <c r="B219" s="378" t="str">
        <f>Fluxo_de_Caixa_Janeiro[[#This Row],[Fluxo de Caixa 2026 CTR]]</f>
        <v>3.8.07. IPTU</v>
      </c>
      <c r="C219" s="357"/>
      <c r="D219" s="306"/>
      <c r="E219" s="306"/>
      <c r="F219" s="306">
        <f>Fluxo_de_Caixa_Janeiro345[[#This Row],[ABRIL]]</f>
        <v>0</v>
      </c>
      <c r="G219" s="306">
        <f>Fluxo_de_Caixa_Janeiro3459[[#This Row],[MAIO]]</f>
        <v>0</v>
      </c>
      <c r="H219" s="306">
        <f>Fluxo_de_Caixa_Janeiro345911[[#This Row],[JUNHO]]</f>
        <v>0</v>
      </c>
      <c r="I219" s="357"/>
      <c r="J219" s="306"/>
      <c r="K219" s="306"/>
      <c r="L219" s="306"/>
      <c r="M219" s="306"/>
      <c r="N219" s="306"/>
      <c r="O219" s="396">
        <f>SUM(Fluxo_de_Caixa_Janeiro3102013[[#This Row],[Janeiro]:[Dezembro]])</f>
        <v>0</v>
      </c>
      <c r="P219" s="398"/>
      <c r="Q219" s="399"/>
      <c r="R219" s="32"/>
    </row>
    <row r="220" spans="2:18" x14ac:dyDescent="0.25">
      <c r="B220" s="378" t="str">
        <f>Fluxo_de_Caixa_Janeiro[[#This Row],[Fluxo de Caixa 2026 CTR]]</f>
        <v>3.8.08.OUTROS TRIBUTOS MUNICIPAIS</v>
      </c>
      <c r="C220" s="357"/>
      <c r="D220" s="306"/>
      <c r="E220" s="306"/>
      <c r="F220" s="306">
        <f>Fluxo_de_Caixa_Janeiro345[[#This Row],[ABRIL]]</f>
        <v>0</v>
      </c>
      <c r="G220" s="306">
        <f>Fluxo_de_Caixa_Janeiro3459[[#This Row],[MAIO]]</f>
        <v>0</v>
      </c>
      <c r="H220" s="306">
        <f>Fluxo_de_Caixa_Janeiro345911[[#This Row],[JUNHO]]</f>
        <v>0</v>
      </c>
      <c r="I220" s="357"/>
      <c r="J220" s="306"/>
      <c r="K220" s="306"/>
      <c r="L220" s="306"/>
      <c r="M220" s="306"/>
      <c r="N220" s="306"/>
      <c r="O220" s="396">
        <f>SUM(Fluxo_de_Caixa_Janeiro3102013[[#This Row],[Janeiro]:[Dezembro]])</f>
        <v>0</v>
      </c>
      <c r="P220" s="398"/>
      <c r="Q220" s="399"/>
      <c r="R220" s="32"/>
    </row>
    <row r="221" spans="2:18" x14ac:dyDescent="0.25">
      <c r="B221" s="378" t="str">
        <f>Fluxo_de_Caixa_Janeiro[[#This Row],[Fluxo de Caixa 2026 CTR]]</f>
        <v>3.8.09.OUTROS TRIBUTOS ESTADUAIS</v>
      </c>
      <c r="C221" s="357"/>
      <c r="D221" s="306"/>
      <c r="E221" s="306"/>
      <c r="F221" s="306">
        <f>Fluxo_de_Caixa_Janeiro345[[#This Row],[ABRIL]]</f>
        <v>0</v>
      </c>
      <c r="G221" s="306">
        <f>Fluxo_de_Caixa_Janeiro3459[[#This Row],[MAIO]]</f>
        <v>0</v>
      </c>
      <c r="H221" s="306">
        <f>Fluxo_de_Caixa_Janeiro345911[[#This Row],[JUNHO]]</f>
        <v>0</v>
      </c>
      <c r="I221" s="357"/>
      <c r="J221" s="306"/>
      <c r="K221" s="306"/>
      <c r="L221" s="306"/>
      <c r="M221" s="306"/>
      <c r="N221" s="306"/>
      <c r="O221" s="396">
        <f>SUM(Fluxo_de_Caixa_Janeiro3102013[[#This Row],[Janeiro]:[Dezembro]])</f>
        <v>0</v>
      </c>
      <c r="P221" s="398"/>
      <c r="Q221" s="399"/>
      <c r="R221" s="32"/>
    </row>
    <row r="222" spans="2:18" x14ac:dyDescent="0.25">
      <c r="B222" s="378" t="str">
        <f>Fluxo_de_Caixa_Janeiro[[#This Row],[Fluxo de Caixa 2026 CTR]]</f>
        <v>3.8.10.OUTROS TRIBUTOS FEDERAIS</v>
      </c>
      <c r="C222" s="357"/>
      <c r="D222" s="306"/>
      <c r="E222" s="306"/>
      <c r="F222" s="306">
        <f>Fluxo_de_Caixa_Janeiro345[[#This Row],[ABRIL]]</f>
        <v>0</v>
      </c>
      <c r="G222" s="306">
        <f>Fluxo_de_Caixa_Janeiro3459[[#This Row],[MAIO]]</f>
        <v>0</v>
      </c>
      <c r="H222" s="306">
        <f>Fluxo_de_Caixa_Janeiro345911[[#This Row],[JUNHO]]</f>
        <v>0</v>
      </c>
      <c r="I222" s="357"/>
      <c r="J222" s="306"/>
      <c r="K222" s="306"/>
      <c r="L222" s="306"/>
      <c r="M222" s="306"/>
      <c r="N222" s="306"/>
      <c r="O222" s="396">
        <f>SUM(Fluxo_de_Caixa_Janeiro3102013[[#This Row],[Janeiro]:[Dezembro]])</f>
        <v>0</v>
      </c>
      <c r="P222" s="398"/>
      <c r="Q222" s="399"/>
      <c r="R222" s="32"/>
    </row>
    <row r="223" spans="2:18" x14ac:dyDescent="0.25">
      <c r="B223" s="378" t="str">
        <f>Fluxo_de_Caixa_Janeiro[[#This Row],[Fluxo de Caixa 2026 CTR]]</f>
        <v>3.8.11. IRRF S/ SERVIÇO DE TERCEIRO</v>
      </c>
      <c r="C223" s="357"/>
      <c r="D223" s="306"/>
      <c r="E223" s="306"/>
      <c r="F223" s="306">
        <f>Fluxo_de_Caixa_Janeiro345[[#This Row],[ABRIL]]</f>
        <v>0</v>
      </c>
      <c r="G223" s="306">
        <f>Fluxo_de_Caixa_Janeiro3459[[#This Row],[MAIO]]</f>
        <v>0</v>
      </c>
      <c r="H223" s="306">
        <f>Fluxo_de_Caixa_Janeiro345911[[#This Row],[JUNHO]]</f>
        <v>0</v>
      </c>
      <c r="I223" s="357"/>
      <c r="J223" s="306"/>
      <c r="K223" s="306"/>
      <c r="L223" s="306"/>
      <c r="M223" s="306"/>
      <c r="N223" s="306"/>
      <c r="O223" s="396">
        <f>SUM(Fluxo_de_Caixa_Janeiro3102013[[#This Row],[Janeiro]:[Dezembro]])</f>
        <v>0</v>
      </c>
      <c r="P223" s="398"/>
      <c r="Q223" s="399"/>
      <c r="R223" s="32"/>
    </row>
    <row r="224" spans="2:18" x14ac:dyDescent="0.25">
      <c r="B224" s="378" t="str">
        <f>Fluxo_de_Caixa_Janeiro[[#This Row],[Fluxo de Caixa 2026 CTR]]</f>
        <v>3.8.12.MULTA S/ INFRACOES FISCAIS</v>
      </c>
      <c r="C224" s="357"/>
      <c r="D224" s="306"/>
      <c r="E224" s="306"/>
      <c r="F224" s="306">
        <f>Fluxo_de_Caixa_Janeiro345[[#This Row],[ABRIL]]</f>
        <v>0</v>
      </c>
      <c r="G224" s="306">
        <f>Fluxo_de_Caixa_Janeiro3459[[#This Row],[MAIO]]</f>
        <v>0</v>
      </c>
      <c r="H224" s="306">
        <f>Fluxo_de_Caixa_Janeiro345911[[#This Row],[JUNHO]]</f>
        <v>0</v>
      </c>
      <c r="I224" s="357"/>
      <c r="J224" s="306"/>
      <c r="K224" s="306"/>
      <c r="L224" s="306"/>
      <c r="M224" s="306"/>
      <c r="N224" s="306"/>
      <c r="O224" s="396">
        <f>SUM(Fluxo_de_Caixa_Janeiro3102013[[#This Row],[Janeiro]:[Dezembro]])</f>
        <v>0</v>
      </c>
      <c r="P224" s="398"/>
      <c r="Q224" s="399"/>
      <c r="R224" s="32"/>
    </row>
    <row r="225" spans="2:26" x14ac:dyDescent="0.25">
      <c r="B225" s="378" t="str">
        <f>Fluxo_de_Caixa_Janeiro[[#This Row],[Fluxo de Caixa 2026 CTR]]</f>
        <v>3.8.13.MULTA ATRASO PAGTO TRIBUTOS</v>
      </c>
      <c r="C225" s="357"/>
      <c r="D225" s="306"/>
      <c r="E225" s="306"/>
      <c r="F225" s="306">
        <f>Fluxo_de_Caixa_Janeiro345[[#This Row],[ABRIL]]</f>
        <v>0</v>
      </c>
      <c r="G225" s="306">
        <f>Fluxo_de_Caixa_Janeiro3459[[#This Row],[MAIO]]</f>
        <v>0</v>
      </c>
      <c r="H225" s="306">
        <f>Fluxo_de_Caixa_Janeiro345911[[#This Row],[JUNHO]]</f>
        <v>0</v>
      </c>
      <c r="I225" s="357"/>
      <c r="J225" s="306"/>
      <c r="K225" s="306"/>
      <c r="L225" s="306"/>
      <c r="M225" s="306"/>
      <c r="N225" s="306"/>
      <c r="O225" s="396">
        <f>SUM(Fluxo_de_Caixa_Janeiro3102013[[#This Row],[Janeiro]:[Dezembro]])</f>
        <v>0</v>
      </c>
      <c r="P225" s="398"/>
      <c r="Q225" s="399"/>
      <c r="R225" s="32"/>
    </row>
    <row r="226" spans="2:26" hidden="1" x14ac:dyDescent="0.25">
      <c r="B226" s="378">
        <f>Fluxo_de_Caixa_Janeiro[[#This Row],[Fluxo de Caixa 2026 CTR]]</f>
        <v>0</v>
      </c>
      <c r="C226" s="357"/>
      <c r="D226" s="306"/>
      <c r="E226" s="306"/>
      <c r="F226" s="306">
        <f>Fluxo_de_Caixa_Janeiro345[[#This Row],[ABRIL]]</f>
        <v>0</v>
      </c>
      <c r="G226" s="306">
        <f>Fluxo_de_Caixa_Janeiro3459[[#This Row],[MAIO]]</f>
        <v>0</v>
      </c>
      <c r="H226" s="306">
        <f>Fluxo_de_Caixa_Janeiro345911[[#This Row],[JUNHO]]</f>
        <v>0</v>
      </c>
      <c r="I226" s="357"/>
      <c r="J226" s="306"/>
      <c r="K226" s="306"/>
      <c r="L226" s="306"/>
      <c r="M226" s="306"/>
      <c r="N226" s="306"/>
      <c r="O226" s="396">
        <f>SUM(Fluxo_de_Caixa_Janeiro3102013[[#This Row],[Janeiro]:[Dezembro]])</f>
        <v>0</v>
      </c>
      <c r="P226" s="398"/>
      <c r="Q226" s="399"/>
      <c r="R226" s="32"/>
    </row>
    <row r="227" spans="2:26" hidden="1" x14ac:dyDescent="0.25">
      <c r="B227" s="378">
        <f>Fluxo_de_Caixa_Janeiro[[#This Row],[Fluxo de Caixa 2026 CTR]]</f>
        <v>0</v>
      </c>
      <c r="C227" s="357"/>
      <c r="D227" s="306"/>
      <c r="E227" s="306"/>
      <c r="F227" s="306">
        <f>Fluxo_de_Caixa_Janeiro345[[#This Row],[ABRIL]]</f>
        <v>0</v>
      </c>
      <c r="G227" s="306">
        <f>Fluxo_de_Caixa_Janeiro3459[[#This Row],[MAIO]]</f>
        <v>0</v>
      </c>
      <c r="H227" s="306">
        <f>Fluxo_de_Caixa_Janeiro345911[[#This Row],[JUNHO]]</f>
        <v>0</v>
      </c>
      <c r="I227" s="357"/>
      <c r="J227" s="306"/>
      <c r="K227" s="306"/>
      <c r="L227" s="306"/>
      <c r="M227" s="306"/>
      <c r="N227" s="306"/>
      <c r="O227" s="396">
        <f>SUM(Fluxo_de_Caixa_Janeiro3102013[[#This Row],[Janeiro]:[Dezembro]])</f>
        <v>0</v>
      </c>
      <c r="P227" s="398"/>
      <c r="Q227" s="399"/>
      <c r="R227" s="32"/>
    </row>
    <row r="228" spans="2:26" ht="15.75" thickBot="1" x14ac:dyDescent="0.3">
      <c r="B228" s="378" t="str">
        <f>Fluxo_de_Caixa_Janeiro[[#This Row],[Fluxo de Caixa 2026 CTR]]</f>
        <v>3.8.16. CRF Sobre Serviço</v>
      </c>
      <c r="C228" s="357"/>
      <c r="D228" s="306"/>
      <c r="E228" s="306"/>
      <c r="F228" s="306">
        <f>Fluxo_de_Caixa_Janeiro345[[#This Row],[ABRIL]]</f>
        <v>0</v>
      </c>
      <c r="G228" s="306">
        <f>Fluxo_de_Caixa_Janeiro3459[[#This Row],[MAIO]]</f>
        <v>0</v>
      </c>
      <c r="H228" s="306">
        <f>Fluxo_de_Caixa_Janeiro345911[[#This Row],[JUNHO]]</f>
        <v>0</v>
      </c>
      <c r="I228" s="357"/>
      <c r="J228" s="306"/>
      <c r="K228" s="306"/>
      <c r="L228" s="306"/>
      <c r="M228" s="306"/>
      <c r="N228" s="306"/>
      <c r="O228" s="396">
        <f>SUM(Fluxo_de_Caixa_Janeiro3102013[[#This Row],[Janeiro]:[Dezembro]])</f>
        <v>0</v>
      </c>
      <c r="P228" s="398"/>
      <c r="Q228" s="399"/>
      <c r="R228" s="32"/>
    </row>
    <row r="229" spans="2:26" hidden="1" x14ac:dyDescent="0.25">
      <c r="B229" s="378">
        <f>Fluxo_de_Caixa_Janeiro[[#This Row],[Fluxo de Caixa 2026 CTR]]</f>
        <v>0</v>
      </c>
      <c r="C229" s="357"/>
      <c r="D229" s="306"/>
      <c r="E229" s="306"/>
      <c r="F229" s="306">
        <f>Fluxo_de_Caixa_Janeiro345[[#This Row],[ABRIL]]</f>
        <v>0</v>
      </c>
      <c r="G229" s="306">
        <f>Fluxo_de_Caixa_Janeiro3459[[#This Row],[MAIO]]</f>
        <v>0</v>
      </c>
      <c r="H229" s="306">
        <f>Fluxo_de_Caixa_Janeiro345911[[#This Row],[JUNHO]]</f>
        <v>0</v>
      </c>
      <c r="I229" s="357"/>
      <c r="J229" s="306"/>
      <c r="K229" s="306"/>
      <c r="L229" s="306"/>
      <c r="M229" s="306"/>
      <c r="N229" s="306"/>
      <c r="O229" s="396">
        <f>SUM(Fluxo_de_Caixa_Janeiro3102013[[#This Row],[Janeiro]:[Dezembro]])</f>
        <v>0</v>
      </c>
      <c r="P229" s="398"/>
      <c r="Q229" s="399"/>
      <c r="R229" s="32"/>
    </row>
    <row r="230" spans="2:26" ht="15.75" hidden="1" thickBot="1" x14ac:dyDescent="0.3">
      <c r="B230" s="389">
        <f>Fluxo_de_Caixa_Janeiro[[#This Row],[Fluxo de Caixa 2026 CTR]]</f>
        <v>0</v>
      </c>
      <c r="C230" s="366"/>
      <c r="D230" s="367"/>
      <c r="E230" s="367"/>
      <c r="F230" s="367">
        <f>Fluxo_de_Caixa_Janeiro345[[#This Row],[ABRIL]]</f>
        <v>0</v>
      </c>
      <c r="G230" s="367">
        <f>Fluxo_de_Caixa_Janeiro3459[[#This Row],[MAIO]]</f>
        <v>0</v>
      </c>
      <c r="H230" s="367">
        <f>Fluxo_de_Caixa_Janeiro345911[[#This Row],[JUNHO]]</f>
        <v>0</v>
      </c>
      <c r="I230" s="366"/>
      <c r="J230" s="367"/>
      <c r="K230" s="367"/>
      <c r="L230" s="367"/>
      <c r="M230" s="367"/>
      <c r="N230" s="368"/>
      <c r="O230" s="400">
        <f>SUM(Fluxo_de_Caixa_Janeiro3102013[[#This Row],[Janeiro]:[Dezembro]])</f>
        <v>0</v>
      </c>
      <c r="P230" s="401"/>
      <c r="Q230" s="402"/>
      <c r="R230" s="32"/>
    </row>
    <row r="231" spans="2:26" ht="19.5" thickBot="1" x14ac:dyDescent="0.35">
      <c r="B231" s="277" t="str">
        <f>Fluxo_de_Caixa_Janeiro[[#This Row],[Fluxo de Caixa 2026 CTR]]</f>
        <v>3.9. PATROCINIO / BONIFICAÇÃO</v>
      </c>
      <c r="C231" s="158"/>
      <c r="D231" s="97"/>
      <c r="E231" s="97"/>
      <c r="F231" s="97">
        <f>Fluxo_de_Caixa_Janeiro345[[#This Row],[ABRIL]]</f>
        <v>-300</v>
      </c>
      <c r="G231" s="97">
        <f>Fluxo_de_Caixa_Janeiro3459[[#This Row],[MAIO]]</f>
        <v>0</v>
      </c>
      <c r="H231" s="97">
        <f>Fluxo_de_Caixa_Janeiro345911[[#This Row],[JUNHO]]</f>
        <v>0</v>
      </c>
      <c r="I231" s="158"/>
      <c r="J231" s="97"/>
      <c r="K231" s="97"/>
      <c r="L231" s="97"/>
      <c r="M231" s="97"/>
      <c r="N231" s="129"/>
      <c r="O231" s="226">
        <f>SUM(Fluxo_de_Caixa_Janeiro3102013[[#This Row],[Janeiro]:[Dezembro]])</f>
        <v>-300</v>
      </c>
      <c r="P231" s="144">
        <f>-IFERROR(C231/$C$27,"0,00")</f>
        <v>0</v>
      </c>
      <c r="Q231" s="98">
        <v>0</v>
      </c>
      <c r="R231" s="32"/>
    </row>
    <row r="232" spans="2:26" x14ac:dyDescent="0.25">
      <c r="B232" s="378" t="str">
        <f>Fluxo_de_Caixa_Janeiro[[#This Row],[Fluxo de Caixa 2026 CTR]]</f>
        <v>3.9.01.PATROCÍNIO  EM DINHEIRO</v>
      </c>
      <c r="C232" s="366"/>
      <c r="D232" s="367"/>
      <c r="E232" s="367"/>
      <c r="F232" s="367">
        <f>Fluxo_de_Caixa_Janeiro345[[#This Row],[ABRIL]]</f>
        <v>300</v>
      </c>
      <c r="G232" s="367">
        <f>Fluxo_de_Caixa_Janeiro3459[[#This Row],[MAIO]]</f>
        <v>0</v>
      </c>
      <c r="H232" s="367">
        <f>Fluxo_de_Caixa_Janeiro345911[[#This Row],[JUNHO]]</f>
        <v>0</v>
      </c>
      <c r="I232" s="366"/>
      <c r="J232" s="367"/>
      <c r="K232" s="367"/>
      <c r="L232" s="367"/>
      <c r="M232" s="367"/>
      <c r="N232" s="368"/>
      <c r="O232" s="224">
        <f>SUM(Fluxo_de_Caixa_Janeiro3102013[[#This Row],[Janeiro]:[Dezembro]])</f>
        <v>300</v>
      </c>
      <c r="P232" s="194">
        <f>IFERROR(O232/$O$27,"0,00%")</f>
        <v>1.7060262368523879E-4</v>
      </c>
      <c r="Q232" s="75">
        <v>3.2081812067274789E-4</v>
      </c>
      <c r="R232" s="32"/>
    </row>
    <row r="233" spans="2:26" ht="15.75" thickBot="1" x14ac:dyDescent="0.3">
      <c r="B233" s="55" t="str">
        <f>Fluxo_de_Caixa_Janeiro[[#This Row],[Fluxo de Caixa 2026 CTR]]</f>
        <v>3.9.02.BONIFICAÇÃO EM PRODUTOS</v>
      </c>
      <c r="C233" s="35"/>
      <c r="D233" s="62"/>
      <c r="E233" s="62"/>
      <c r="F233" s="62">
        <f>Fluxo_de_Caixa_Janeiro345[[#This Row],[ABRIL]]</f>
        <v>0</v>
      </c>
      <c r="G233" s="62">
        <f>Fluxo_de_Caixa_Janeiro3459[[#This Row],[MAIO]]</f>
        <v>0</v>
      </c>
      <c r="H233" s="62">
        <f>Fluxo_de_Caixa_Janeiro345911[[#This Row],[JUNHO]]</f>
        <v>0</v>
      </c>
      <c r="I233" s="35"/>
      <c r="J233" s="62"/>
      <c r="K233" s="62"/>
      <c r="L233" s="62"/>
      <c r="M233" s="62"/>
      <c r="N233" s="119"/>
      <c r="O233" s="224">
        <f>SUM(Fluxo_de_Caixa_Janeiro3102013[[#This Row],[Janeiro]:[Dezembro]])</f>
        <v>0</v>
      </c>
      <c r="P233" s="194">
        <f>IFERROR(O233/$O$27,"0,00%")</f>
        <v>0</v>
      </c>
      <c r="Q233" s="75">
        <v>0</v>
      </c>
      <c r="R233" s="32" t="str">
        <f>IF(Fluxo_de_Caixa_Janeiro3102013[[#This Row],[% ACUMULADO  2º SEMEST 2026]]&lt;=Fluxo_de_Caixa_Janeiro3102013[[#This Row],[Coluna1]],"VERDADEIRO","FALSO")</f>
        <v>VERDADEIRO</v>
      </c>
    </row>
    <row r="234" spans="2:26" hidden="1" x14ac:dyDescent="0.25">
      <c r="B234" s="55">
        <f>Fluxo_de_Caixa_Janeiro[[#This Row],[Fluxo de Caixa 2026 CTR]]</f>
        <v>0</v>
      </c>
      <c r="C234" s="35"/>
      <c r="D234" s="62"/>
      <c r="E234" s="62"/>
      <c r="F234" s="62">
        <f>Fluxo_de_Caixa_Janeiro345[[#This Row],[ABRIL]]</f>
        <v>0</v>
      </c>
      <c r="G234" s="62">
        <f>Fluxo_de_Caixa_Janeiro3459[[#This Row],[MAIO]]</f>
        <v>0</v>
      </c>
      <c r="H234" s="62">
        <f>Fluxo_de_Caixa_Janeiro345911[[#This Row],[JUNHO]]</f>
        <v>0</v>
      </c>
      <c r="I234" s="35"/>
      <c r="J234" s="62"/>
      <c r="K234" s="62"/>
      <c r="L234" s="62"/>
      <c r="M234" s="62"/>
      <c r="N234" s="119"/>
      <c r="O234" s="224">
        <f>SUM(Fluxo_de_Caixa_Janeiro3102013[[#This Row],[Janeiro]:[Dezembro]])</f>
        <v>0</v>
      </c>
      <c r="P234" s="194">
        <f>IFERROR(O234/$O$27,"0,00%")</f>
        <v>0</v>
      </c>
      <c r="Q234" s="75">
        <v>0</v>
      </c>
      <c r="R234" s="32" t="str">
        <f>IF(Fluxo_de_Caixa_Janeiro3102013[[#This Row],[% ACUMULADO  2º SEMEST 2026]]&lt;=Fluxo_de_Caixa_Janeiro3102013[[#This Row],[Coluna1]],"VERDADEIRO","FALSO")</f>
        <v>VERDADEIRO</v>
      </c>
    </row>
    <row r="235" spans="2:26" ht="15.75" hidden="1" thickBot="1" x14ac:dyDescent="0.3">
      <c r="B235" s="276">
        <f>Fluxo_de_Caixa_Janeiro[[#This Row],[Fluxo de Caixa 2026 CTR]]</f>
        <v>0</v>
      </c>
      <c r="C235" s="36"/>
      <c r="D235" s="82"/>
      <c r="E235" s="82"/>
      <c r="F235" s="82">
        <f>Fluxo_de_Caixa_Janeiro345[[#This Row],[ABRIL]]</f>
        <v>0</v>
      </c>
      <c r="G235" s="82">
        <f>Fluxo_de_Caixa_Janeiro3459[[#This Row],[MAIO]]</f>
        <v>0</v>
      </c>
      <c r="H235" s="82">
        <f>Fluxo_de_Caixa_Janeiro345911[[#This Row],[JUNHO]]</f>
        <v>0</v>
      </c>
      <c r="I235" s="36"/>
      <c r="J235" s="82"/>
      <c r="K235" s="82"/>
      <c r="L235" s="82"/>
      <c r="M235" s="82"/>
      <c r="N235" s="120"/>
      <c r="O235" s="225">
        <f>SUM(Fluxo_de_Caixa_Janeiro3102013[[#This Row],[Janeiro]:[Dezembro]])</f>
        <v>0</v>
      </c>
      <c r="P235" s="195">
        <f>IFERROR(O235/$O$27,"0,00%")</f>
        <v>0</v>
      </c>
      <c r="Q235" s="96">
        <v>0</v>
      </c>
      <c r="R235" s="32" t="str">
        <f>IF(Fluxo_de_Caixa_Janeiro3102013[[#This Row],[% ACUMULADO  2º SEMEST 2026]]&lt;=Fluxo_de_Caixa_Janeiro3102013[[#This Row],[Coluna1]],"VERDADEIRO","FALSO")</f>
        <v>VERDADEIRO</v>
      </c>
    </row>
    <row r="236" spans="2:26" ht="27.6" customHeight="1" thickBot="1" x14ac:dyDescent="0.4">
      <c r="B236" s="170" t="str">
        <f>Fluxo_de_Caixa_Janeiro[[#This Row],[Fluxo de Caixa 2026 CTR]]</f>
        <v>Total das Despesas Operacionais</v>
      </c>
      <c r="C236" s="159"/>
      <c r="D236" s="100"/>
      <c r="E236" s="100"/>
      <c r="F236" s="100">
        <f>Fluxo_de_Caixa_Janeiro345[[#This Row],[ABRIL]]</f>
        <v>-228159.09000000003</v>
      </c>
      <c r="G236" s="100">
        <f>Fluxo_de_Caixa_Janeiro3459[[#This Row],[MAIO]]</f>
        <v>-214796.86000000004</v>
      </c>
      <c r="H236" s="100">
        <f>Fluxo_de_Caixa_Janeiro345911[[#This Row],[JUNHO]]</f>
        <v>0</v>
      </c>
      <c r="I236" s="159"/>
      <c r="J236" s="100"/>
      <c r="K236" s="100"/>
      <c r="L236" s="100"/>
      <c r="M236" s="100"/>
      <c r="N236" s="130"/>
      <c r="O236" s="227">
        <f>SUM(Fluxo_de_Caixa_Janeiro3102013[[#This Row],[Janeiro]:[Dezembro]])</f>
        <v>-442955.95000000007</v>
      </c>
      <c r="P236" s="196">
        <f>IFERROR(O236/O27,"0,00%")</f>
        <v>-0.2518981574899582</v>
      </c>
      <c r="Q236" s="101">
        <v>-0.20045916039404607</v>
      </c>
      <c r="R236" s="32" t="str">
        <f>IF(Fluxo_de_Caixa_Janeiro3102013[[#This Row],[% ACUMULADO  2º SEMEST 2026]]&gt;=Fluxo_de_Caixa_Janeiro3102013[[#This Row],[Coluna1]],"VERDADEIRO","FALSO")</f>
        <v>FALSO</v>
      </c>
    </row>
    <row r="237" spans="2:26" ht="27" thickBot="1" x14ac:dyDescent="0.45">
      <c r="B237" s="171" t="str">
        <f>Fluxo_de_Caixa_Janeiro[[#This Row],[Fluxo de Caixa 2026 CTR]]</f>
        <v>Saldo Operacional Liquido</v>
      </c>
      <c r="C237" s="160"/>
      <c r="D237" s="102"/>
      <c r="E237" s="102"/>
      <c r="F237" s="102">
        <f>Fluxo_de_Caixa_Janeiro345[[#This Row],[ABRIL]]</f>
        <v>336819.23000000004</v>
      </c>
      <c r="G237" s="102">
        <f>Fluxo_de_Caixa_Janeiro3459[[#This Row],[MAIO]]</f>
        <v>274881.09999999992</v>
      </c>
      <c r="H237" s="102">
        <f>Fluxo_de_Caixa_Janeiro345911[[#This Row],[JUNHO]]</f>
        <v>0</v>
      </c>
      <c r="I237" s="160"/>
      <c r="J237" s="102"/>
      <c r="K237" s="102"/>
      <c r="L237" s="102"/>
      <c r="M237" s="102"/>
      <c r="N237" s="131"/>
      <c r="O237" s="228">
        <f>SUM(Fluxo_de_Caixa_Janeiro3102013[[#This Row],[Janeiro]:[Dezembro]])</f>
        <v>611700.32999999996</v>
      </c>
      <c r="P237" s="197">
        <f>IFERROR(O237/O27,"0,00%")</f>
        <v>0.34785893735708789</v>
      </c>
      <c r="Q237" s="99">
        <v>3.0446776264614277E-2</v>
      </c>
      <c r="R237" s="32" t="str">
        <f>IF(Fluxo_de_Caixa_Janeiro3102013[[#This Row],[% ACUMULADO  2º SEMEST 2026]]&gt;=Fluxo_de_Caixa_Janeiro3102013[[#This Row],[Coluna1]],"VERDADEIRO","FALSO")</f>
        <v>VERDADEIRO</v>
      </c>
      <c r="S237" s="1"/>
      <c r="T237" s="1"/>
      <c r="U237" s="1"/>
      <c r="V237" s="1"/>
      <c r="W237" s="1"/>
      <c r="X237" s="1"/>
      <c r="Y237" s="1"/>
      <c r="Z237" s="1"/>
    </row>
    <row r="238" spans="2:26" s="1" customFormat="1" ht="24" thickBot="1" x14ac:dyDescent="0.4">
      <c r="B238" s="172" t="str">
        <f>Fluxo_de_Caixa_Janeiro[[#This Row],[Fluxo de Caixa 2026 CTR]]</f>
        <v>Receitas Não Operacionais Totais</v>
      </c>
      <c r="C238" s="161"/>
      <c r="D238" s="103"/>
      <c r="E238" s="103"/>
      <c r="F238" s="103">
        <f>Fluxo_de_Caixa_Janeiro345[[#This Row],[ABRIL]]</f>
        <v>1100</v>
      </c>
      <c r="G238" s="103">
        <f>Fluxo_de_Caixa_Janeiro3459[[#This Row],[MAIO]]</f>
        <v>788.05</v>
      </c>
      <c r="H238" s="103">
        <f>Fluxo_de_Caixa_Janeiro345911[[#This Row],[JUNHO]]</f>
        <v>0</v>
      </c>
      <c r="I238" s="161"/>
      <c r="J238" s="103"/>
      <c r="K238" s="103"/>
      <c r="L238" s="103"/>
      <c r="M238" s="103"/>
      <c r="N238" s="132"/>
      <c r="O238" s="229">
        <f>SUM(Fluxo_de_Caixa_Janeiro3102013[[#This Row],[Janeiro]:[Dezembro]])</f>
        <v>1888.05</v>
      </c>
      <c r="P238" s="145">
        <f>SUM(P239,P248,P261)</f>
        <v>1.0725360434995466E-3</v>
      </c>
      <c r="Q238" s="145">
        <v>1.3869335063311318E-4</v>
      </c>
      <c r="R238" s="32" t="str">
        <f>IF(Fluxo_de_Caixa_Janeiro3102013[[#This Row],[% ACUMULADO  2º SEMEST 2026]]&gt;=Fluxo_de_Caixa_Janeiro3102013[[#This Row],[Coluna1]],"VERDADEIRO","FALSO")</f>
        <v>VERDADEIRO</v>
      </c>
    </row>
    <row r="239" spans="2:26" s="1" customFormat="1" ht="24" thickBot="1" x14ac:dyDescent="0.4">
      <c r="B239" s="57" t="str">
        <f>Fluxo_de_Caixa_Janeiro[[#This Row],[Fluxo de Caixa 2026 CTR]]</f>
        <v>4.1. Receita de Empréstimo</v>
      </c>
      <c r="C239" s="44"/>
      <c r="D239" s="85"/>
      <c r="E239" s="85"/>
      <c r="F239" s="85">
        <f>Fluxo_de_Caixa_Janeiro345[[#This Row],[ABRIL]]</f>
        <v>0</v>
      </c>
      <c r="G239" s="85">
        <f>Fluxo_de_Caixa_Janeiro3459[[#This Row],[MAIO]]</f>
        <v>0</v>
      </c>
      <c r="H239" s="85">
        <f>Fluxo_de_Caixa_Janeiro345911[[#This Row],[JUNHO]]</f>
        <v>0</v>
      </c>
      <c r="I239" s="44"/>
      <c r="J239" s="85"/>
      <c r="K239" s="85"/>
      <c r="L239" s="85"/>
      <c r="M239" s="85"/>
      <c r="N239" s="122"/>
      <c r="O239" s="212">
        <f>SUM(Fluxo_de_Caixa_Janeiro3102013[[#This Row],[Janeiro]:[Dezembro]])</f>
        <v>0</v>
      </c>
      <c r="P239" s="25" t="str">
        <f t="shared" ref="P239:P271" si="13">IF(O239=0,"0,00%",O239/$O$332)</f>
        <v>0,00%</v>
      </c>
      <c r="Q239" s="25" t="s">
        <v>240</v>
      </c>
      <c r="R239" s="32" t="str">
        <f>IF(Fluxo_de_Caixa_Janeiro3102013[[#This Row],[% ACUMULADO  2º SEMEST 2026]]&gt;=Fluxo_de_Caixa_Janeiro3102013[[#This Row],[Coluna1]],"VERDADEIRO","FALSO")</f>
        <v>VERDADEIRO</v>
      </c>
    </row>
    <row r="240" spans="2:26" x14ac:dyDescent="0.25">
      <c r="B240" s="49" t="str">
        <f>Fluxo_de_Caixa_Janeiro[[#This Row],[Fluxo de Caixa 2026 CTR]]</f>
        <v>4.1.01 Bancário</v>
      </c>
      <c r="C240" s="41"/>
      <c r="D240" s="81"/>
      <c r="E240" s="81"/>
      <c r="F240" s="81">
        <f>Fluxo_de_Caixa_Janeiro345[[#This Row],[ABRIL]]</f>
        <v>0</v>
      </c>
      <c r="G240" s="81">
        <f>Fluxo_de_Caixa_Janeiro3459[[#This Row],[MAIO]]</f>
        <v>0</v>
      </c>
      <c r="H240" s="81">
        <f>Fluxo_de_Caixa_Janeiro345911[[#This Row],[JUNHO]]</f>
        <v>0</v>
      </c>
      <c r="I240" s="41"/>
      <c r="J240" s="81"/>
      <c r="K240" s="81"/>
      <c r="L240" s="81"/>
      <c r="M240" s="81"/>
      <c r="N240" s="118"/>
      <c r="O240" s="230">
        <f>SUM(Fluxo_de_Caixa_Janeiro3102013[[#This Row],[Janeiro]:[Dezembro]])</f>
        <v>0</v>
      </c>
      <c r="P240" s="29" t="str">
        <f t="shared" si="13"/>
        <v>0,00%</v>
      </c>
      <c r="Q240" s="20" t="s">
        <v>240</v>
      </c>
      <c r="R240" s="32" t="str">
        <f>IF(Fluxo_de_Caixa_Janeiro3102013[[#This Row],[% ACUMULADO  2º SEMEST 2026]]&gt;=Fluxo_de_Caixa_Janeiro3102013[[#This Row],[Coluna1]],"VERDADEIRO","FALSO")</f>
        <v>VERDADEIRO</v>
      </c>
    </row>
    <row r="241" spans="2:18" x14ac:dyDescent="0.25">
      <c r="B241" s="49" t="str">
        <f>Fluxo_de_Caixa_Janeiro[[#This Row],[Fluxo de Caixa 2026 CTR]]</f>
        <v>4.1.02 Financiamento</v>
      </c>
      <c r="C241" s="35"/>
      <c r="D241" s="62"/>
      <c r="E241" s="62"/>
      <c r="F241" s="62">
        <f>Fluxo_de_Caixa_Janeiro345[[#This Row],[ABRIL]]</f>
        <v>0</v>
      </c>
      <c r="G241" s="62">
        <f>Fluxo_de_Caixa_Janeiro3459[[#This Row],[MAIO]]</f>
        <v>0</v>
      </c>
      <c r="H241" s="62">
        <f>Fluxo_de_Caixa_Janeiro345911[[#This Row],[JUNHO]]</f>
        <v>0</v>
      </c>
      <c r="I241" s="35"/>
      <c r="J241" s="62"/>
      <c r="K241" s="62"/>
      <c r="L241" s="62"/>
      <c r="M241" s="62"/>
      <c r="N241" s="119"/>
      <c r="O241" s="231">
        <f>SUM(Fluxo_de_Caixa_Janeiro3102013[[#This Row],[Janeiro]:[Dezembro]])</f>
        <v>0</v>
      </c>
      <c r="P241" s="140" t="str">
        <f t="shared" si="13"/>
        <v>0,00%</v>
      </c>
      <c r="Q241" s="24" t="s">
        <v>240</v>
      </c>
      <c r="R241" s="32" t="str">
        <f>IF(Fluxo_de_Caixa_Janeiro3102013[[#This Row],[% ACUMULADO  2º SEMEST 2026]]&gt;=Fluxo_de_Caixa_Janeiro3102013[[#This Row],[Coluna1]],"VERDADEIRO","FALSO")</f>
        <v>VERDADEIRO</v>
      </c>
    </row>
    <row r="242" spans="2:18" x14ac:dyDescent="0.25">
      <c r="B242" s="49" t="str">
        <f>Fluxo_de_Caixa_Janeiro[[#This Row],[Fluxo de Caixa 2026 CTR]]</f>
        <v>4.1.03 Entre Lojas do Grupo</v>
      </c>
      <c r="C242" s="35"/>
      <c r="D242" s="62"/>
      <c r="E242" s="62"/>
      <c r="F242" s="62">
        <f>Fluxo_de_Caixa_Janeiro345[[#This Row],[ABRIL]]</f>
        <v>0</v>
      </c>
      <c r="G242" s="62">
        <f>Fluxo_de_Caixa_Janeiro3459[[#This Row],[MAIO]]</f>
        <v>0</v>
      </c>
      <c r="H242" s="62">
        <f>Fluxo_de_Caixa_Janeiro345911[[#This Row],[JUNHO]]</f>
        <v>0</v>
      </c>
      <c r="I242" s="35"/>
      <c r="J242" s="62"/>
      <c r="K242" s="62"/>
      <c r="L242" s="62"/>
      <c r="M242" s="62"/>
      <c r="N242" s="119"/>
      <c r="O242" s="231">
        <f>SUM(Fluxo_de_Caixa_Janeiro3102013[[#This Row],[Janeiro]:[Dezembro]])</f>
        <v>0</v>
      </c>
      <c r="P242" s="140" t="str">
        <f t="shared" si="13"/>
        <v>0,00%</v>
      </c>
      <c r="Q242" s="24" t="s">
        <v>240</v>
      </c>
      <c r="R242" s="32" t="str">
        <f>IF(Fluxo_de_Caixa_Janeiro3102013[[#This Row],[% ACUMULADO  2º SEMEST 2026]]&gt;=Fluxo_de_Caixa_Janeiro3102013[[#This Row],[Coluna1]],"VERDADEIRO","FALSO")</f>
        <v>VERDADEIRO</v>
      </c>
    </row>
    <row r="243" spans="2:18" ht="15.75" thickBot="1" x14ac:dyDescent="0.3">
      <c r="B243" s="56" t="str">
        <f>Fluxo_de_Caixa_Janeiro[[#This Row],[Fluxo de Caixa 2026 CTR]]</f>
        <v>4.1.04 Pessoa Física</v>
      </c>
      <c r="C243" s="35"/>
      <c r="D243" s="62"/>
      <c r="E243" s="62"/>
      <c r="F243" s="62">
        <f>Fluxo_de_Caixa_Janeiro345[[#This Row],[ABRIL]]</f>
        <v>0</v>
      </c>
      <c r="G243" s="62">
        <f>Fluxo_de_Caixa_Janeiro3459[[#This Row],[MAIO]]</f>
        <v>0</v>
      </c>
      <c r="H243" s="62">
        <f>Fluxo_de_Caixa_Janeiro345911[[#This Row],[JUNHO]]</f>
        <v>0</v>
      </c>
      <c r="I243" s="35"/>
      <c r="J243" s="62"/>
      <c r="K243" s="62"/>
      <c r="L243" s="62"/>
      <c r="M243" s="62"/>
      <c r="N243" s="119"/>
      <c r="O243" s="231">
        <f>SUM(Fluxo_de_Caixa_Janeiro3102013[[#This Row],[Janeiro]:[Dezembro]])</f>
        <v>0</v>
      </c>
      <c r="P243" s="140" t="str">
        <f t="shared" si="13"/>
        <v>0,00%</v>
      </c>
      <c r="Q243" s="24" t="s">
        <v>240</v>
      </c>
      <c r="R243" s="32" t="str">
        <f>IF(Fluxo_de_Caixa_Janeiro3102013[[#This Row],[% ACUMULADO  2º SEMEST 2026]]&gt;=Fluxo_de_Caixa_Janeiro3102013[[#This Row],[Coluna1]],"VERDADEIRO","FALSO")</f>
        <v>VERDADEIRO</v>
      </c>
    </row>
    <row r="244" spans="2:18" hidden="1" x14ac:dyDescent="0.25">
      <c r="B244" s="50">
        <f>Fluxo_de_Caixa_Janeiro[[#This Row],[Fluxo de Caixa 2026 CTR]]</f>
        <v>0</v>
      </c>
      <c r="C244" s="35"/>
      <c r="D244" s="62"/>
      <c r="E244" s="62"/>
      <c r="F244" s="62">
        <f>Fluxo_de_Caixa_Janeiro345[[#This Row],[ABRIL]]</f>
        <v>0</v>
      </c>
      <c r="G244" s="62">
        <f>Fluxo_de_Caixa_Janeiro3459[[#This Row],[MAIO]]</f>
        <v>0</v>
      </c>
      <c r="H244" s="62">
        <f>Fluxo_de_Caixa_Janeiro345911[[#This Row],[JUNHO]]</f>
        <v>0</v>
      </c>
      <c r="I244" s="35"/>
      <c r="J244" s="62"/>
      <c r="K244" s="62"/>
      <c r="L244" s="62"/>
      <c r="M244" s="62"/>
      <c r="N244" s="119"/>
      <c r="O244" s="231">
        <f>SUM(Fluxo_de_Caixa_Janeiro3102013[[#This Row],[Janeiro]:[Dezembro]])</f>
        <v>0</v>
      </c>
      <c r="P244" s="140" t="str">
        <f t="shared" si="13"/>
        <v>0,00%</v>
      </c>
      <c r="Q244" s="24" t="s">
        <v>240</v>
      </c>
      <c r="R244" s="32" t="str">
        <f>IF(Fluxo_de_Caixa_Janeiro3102013[[#This Row],[% ACUMULADO  2º SEMEST 2026]]&gt;=Fluxo_de_Caixa_Janeiro3102013[[#This Row],[Coluna1]],"VERDADEIRO","FALSO")</f>
        <v>VERDADEIRO</v>
      </c>
    </row>
    <row r="245" spans="2:18" hidden="1" x14ac:dyDescent="0.25">
      <c r="B245" s="50">
        <f>Fluxo_de_Caixa_Janeiro[[#This Row],[Fluxo de Caixa 2026 CTR]]</f>
        <v>0</v>
      </c>
      <c r="C245" s="35"/>
      <c r="D245" s="62"/>
      <c r="E245" s="62"/>
      <c r="F245" s="62">
        <f>Fluxo_de_Caixa_Janeiro345[[#This Row],[ABRIL]]</f>
        <v>0</v>
      </c>
      <c r="G245" s="62">
        <f>Fluxo_de_Caixa_Janeiro3459[[#This Row],[MAIO]]</f>
        <v>0</v>
      </c>
      <c r="H245" s="62">
        <f>Fluxo_de_Caixa_Janeiro345911[[#This Row],[JUNHO]]</f>
        <v>0</v>
      </c>
      <c r="I245" s="35"/>
      <c r="J245" s="62"/>
      <c r="K245" s="62"/>
      <c r="L245" s="62"/>
      <c r="M245" s="62"/>
      <c r="N245" s="119"/>
      <c r="O245" s="231">
        <f>SUM(Fluxo_de_Caixa_Janeiro3102013[[#This Row],[Janeiro]:[Dezembro]])</f>
        <v>0</v>
      </c>
      <c r="P245" s="140" t="str">
        <f t="shared" si="13"/>
        <v>0,00%</v>
      </c>
      <c r="Q245" s="24" t="s">
        <v>240</v>
      </c>
      <c r="R245" s="32" t="str">
        <f>IF(Fluxo_de_Caixa_Janeiro3102013[[#This Row],[% ACUMULADO  2º SEMEST 2026]]&gt;=Fluxo_de_Caixa_Janeiro3102013[[#This Row],[Coluna1]],"VERDADEIRO","FALSO")</f>
        <v>VERDADEIRO</v>
      </c>
    </row>
    <row r="246" spans="2:18" hidden="1" x14ac:dyDescent="0.25">
      <c r="B246" s="50">
        <f>Fluxo_de_Caixa_Janeiro[[#This Row],[Fluxo de Caixa 2026 CTR]]</f>
        <v>0</v>
      </c>
      <c r="C246" s="35"/>
      <c r="D246" s="62"/>
      <c r="E246" s="62"/>
      <c r="F246" s="62">
        <f>Fluxo_de_Caixa_Janeiro345[[#This Row],[ABRIL]]</f>
        <v>0</v>
      </c>
      <c r="G246" s="62">
        <f>Fluxo_de_Caixa_Janeiro3459[[#This Row],[MAIO]]</f>
        <v>0</v>
      </c>
      <c r="H246" s="62">
        <f>Fluxo_de_Caixa_Janeiro345911[[#This Row],[JUNHO]]</f>
        <v>0</v>
      </c>
      <c r="I246" s="35"/>
      <c r="J246" s="62"/>
      <c r="K246" s="62"/>
      <c r="L246" s="62"/>
      <c r="M246" s="62"/>
      <c r="N246" s="119"/>
      <c r="O246" s="231">
        <f>SUM(Fluxo_de_Caixa_Janeiro3102013[[#This Row],[Janeiro]:[Dezembro]])</f>
        <v>0</v>
      </c>
      <c r="P246" s="140" t="str">
        <f t="shared" si="13"/>
        <v>0,00%</v>
      </c>
      <c r="Q246" s="24" t="s">
        <v>240</v>
      </c>
      <c r="R246" s="32" t="str">
        <f>IF(Fluxo_de_Caixa_Janeiro3102013[[#This Row],[% ACUMULADO  2º SEMEST 2026]]&gt;=Fluxo_de_Caixa_Janeiro3102013[[#This Row],[Coluna1]],"VERDADEIRO","FALSO")</f>
        <v>VERDADEIRO</v>
      </c>
    </row>
    <row r="247" spans="2:18" ht="15.75" hidden="1" thickBot="1" x14ac:dyDescent="0.3">
      <c r="B247" s="58">
        <f>Fluxo_de_Caixa_Janeiro[[#This Row],[Fluxo de Caixa 2026 CTR]]</f>
        <v>0</v>
      </c>
      <c r="C247" s="36"/>
      <c r="D247" s="82"/>
      <c r="E247" s="82"/>
      <c r="F247" s="82">
        <f>Fluxo_de_Caixa_Janeiro345[[#This Row],[ABRIL]]</f>
        <v>0</v>
      </c>
      <c r="G247" s="82">
        <f>Fluxo_de_Caixa_Janeiro3459[[#This Row],[MAIO]]</f>
        <v>0</v>
      </c>
      <c r="H247" s="82">
        <f>Fluxo_de_Caixa_Janeiro345911[[#This Row],[JUNHO]]</f>
        <v>0</v>
      </c>
      <c r="I247" s="36"/>
      <c r="J247" s="82"/>
      <c r="K247" s="82"/>
      <c r="L247" s="82"/>
      <c r="M247" s="82"/>
      <c r="N247" s="120"/>
      <c r="O247" s="232">
        <f>SUM(Fluxo_de_Caixa_Janeiro3102013[[#This Row],[Janeiro]:[Dezembro]])</f>
        <v>0</v>
      </c>
      <c r="P247" s="141" t="str">
        <f t="shared" si="13"/>
        <v>0,00%</v>
      </c>
      <c r="Q247" s="59" t="s">
        <v>240</v>
      </c>
      <c r="R247" s="32" t="str">
        <f>IF(Fluxo_de_Caixa_Janeiro3102013[[#This Row],[% ACUMULADO  2º SEMEST 2026]]&gt;=Fluxo_de_Caixa_Janeiro3102013[[#This Row],[Coluna1]],"VERDADEIRO","FALSO")</f>
        <v>VERDADEIRO</v>
      </c>
    </row>
    <row r="248" spans="2:18" s="1" customFormat="1" ht="24" thickBot="1" x14ac:dyDescent="0.4">
      <c r="B248" s="48" t="str">
        <f>Fluxo_de_Caixa_Janeiro[[#This Row],[Fluxo de Caixa 2026 CTR]]</f>
        <v>4.2. Receita de Investimento</v>
      </c>
      <c r="C248" s="38"/>
      <c r="D248" s="87"/>
      <c r="E248" s="87"/>
      <c r="F248" s="87">
        <f>Fluxo_de_Caixa_Janeiro345[[#This Row],[ABRIL]]</f>
        <v>550</v>
      </c>
      <c r="G248" s="87">
        <f>Fluxo_de_Caixa_Janeiro3459[[#This Row],[MAIO]]</f>
        <v>788.05</v>
      </c>
      <c r="H248" s="87">
        <f>Fluxo_de_Caixa_Janeiro345911[[#This Row],[JUNHO]]</f>
        <v>0</v>
      </c>
      <c r="I248" s="38"/>
      <c r="J248" s="87"/>
      <c r="K248" s="87"/>
      <c r="L248" s="87"/>
      <c r="M248" s="87"/>
      <c r="N248" s="125"/>
      <c r="O248" s="216">
        <f>SUM(Fluxo_de_Caixa_Janeiro3102013[[#This Row],[Janeiro]:[Dezembro]])</f>
        <v>1338.05</v>
      </c>
      <c r="P248" s="247">
        <f t="shared" si="13"/>
        <v>7.6010002542547508E-4</v>
      </c>
      <c r="Q248" s="19">
        <v>1.2952838990932324E-4</v>
      </c>
      <c r="R248" s="32" t="str">
        <f>IF(Fluxo_de_Caixa_Janeiro3102013[[#This Row],[% ACUMULADO  2º SEMEST 2026]]&gt;=Fluxo_de_Caixa_Janeiro3102013[[#This Row],[Coluna1]],"VERDADEIRO","FALSO")</f>
        <v>VERDADEIRO</v>
      </c>
    </row>
    <row r="249" spans="2:18" x14ac:dyDescent="0.25">
      <c r="B249" s="49" t="str">
        <f>Fluxo_de_Caixa_Janeiro[[#This Row],[Fluxo de Caixa 2026 CTR]]</f>
        <v>4.2.01 Venda de Imóveis/terrenos</v>
      </c>
      <c r="C249" s="41"/>
      <c r="D249" s="81"/>
      <c r="E249" s="81"/>
      <c r="F249" s="81">
        <f>Fluxo_de_Caixa_Janeiro345[[#This Row],[ABRIL]]</f>
        <v>0</v>
      </c>
      <c r="G249" s="81">
        <f>Fluxo_de_Caixa_Janeiro3459[[#This Row],[MAIO]]</f>
        <v>0</v>
      </c>
      <c r="H249" s="81">
        <f>Fluxo_de_Caixa_Janeiro345911[[#This Row],[JUNHO]]</f>
        <v>0</v>
      </c>
      <c r="I249" s="41"/>
      <c r="J249" s="81"/>
      <c r="K249" s="81"/>
      <c r="L249" s="81"/>
      <c r="M249" s="81"/>
      <c r="N249" s="118"/>
      <c r="O249" s="230">
        <f>SUM(Fluxo_de_Caixa_Janeiro3102013[[#This Row],[Janeiro]:[Dezembro]])</f>
        <v>0</v>
      </c>
      <c r="P249" s="29" t="str">
        <f t="shared" si="13"/>
        <v>0,00%</v>
      </c>
      <c r="Q249" s="20" t="s">
        <v>240</v>
      </c>
      <c r="R249" s="32" t="str">
        <f>IF(Fluxo_de_Caixa_Janeiro3102013[[#This Row],[% ACUMULADO  2º SEMEST 2026]]&gt;=Fluxo_de_Caixa_Janeiro3102013[[#This Row],[Coluna1]],"VERDADEIRO","FALSO")</f>
        <v>VERDADEIRO</v>
      </c>
    </row>
    <row r="250" spans="2:18" x14ac:dyDescent="0.25">
      <c r="B250" s="49" t="str">
        <f>Fluxo_de_Caixa_Janeiro[[#This Row],[Fluxo de Caixa 2026 CTR]]</f>
        <v xml:space="preserve">4.2.02 Venda de Veículos </v>
      </c>
      <c r="C250" s="35"/>
      <c r="D250" s="62"/>
      <c r="E250" s="62"/>
      <c r="F250" s="62">
        <f>Fluxo_de_Caixa_Janeiro345[[#This Row],[ABRIL]]</f>
        <v>0</v>
      </c>
      <c r="G250" s="62">
        <f>Fluxo_de_Caixa_Janeiro3459[[#This Row],[MAIO]]</f>
        <v>0</v>
      </c>
      <c r="H250" s="62">
        <f>Fluxo_de_Caixa_Janeiro345911[[#This Row],[JUNHO]]</f>
        <v>0</v>
      </c>
      <c r="I250" s="35"/>
      <c r="J250" s="62"/>
      <c r="K250" s="62"/>
      <c r="L250" s="62"/>
      <c r="M250" s="62"/>
      <c r="N250" s="119"/>
      <c r="O250" s="231">
        <f>SUM(Fluxo_de_Caixa_Janeiro3102013[[#This Row],[Janeiro]:[Dezembro]])</f>
        <v>0</v>
      </c>
      <c r="P250" s="140" t="str">
        <f t="shared" si="13"/>
        <v>0,00%</v>
      </c>
      <c r="Q250" s="24" t="s">
        <v>240</v>
      </c>
      <c r="R250" s="32" t="str">
        <f>IF(Fluxo_de_Caixa_Janeiro3102013[[#This Row],[% ACUMULADO  2º SEMEST 2026]]&gt;=Fluxo_de_Caixa_Janeiro3102013[[#This Row],[Coluna1]],"VERDADEIRO","FALSO")</f>
        <v>VERDADEIRO</v>
      </c>
    </row>
    <row r="251" spans="2:18" x14ac:dyDescent="0.25">
      <c r="B251" s="49" t="str">
        <f>Fluxo_de_Caixa_Janeiro[[#This Row],[Fluxo de Caixa 2026 CTR]]</f>
        <v xml:space="preserve">4.2.03 Resgate de Titulo de Capitalização </v>
      </c>
      <c r="C251" s="35"/>
      <c r="D251" s="62"/>
      <c r="E251" s="62"/>
      <c r="F251" s="62">
        <f>Fluxo_de_Caixa_Janeiro345[[#This Row],[ABRIL]]</f>
        <v>0</v>
      </c>
      <c r="G251" s="62">
        <f>Fluxo_de_Caixa_Janeiro3459[[#This Row],[MAIO]]</f>
        <v>0</v>
      </c>
      <c r="H251" s="62">
        <f>Fluxo_de_Caixa_Janeiro345911[[#This Row],[JUNHO]]</f>
        <v>0</v>
      </c>
      <c r="I251" s="35"/>
      <c r="J251" s="62"/>
      <c r="K251" s="62"/>
      <c r="L251" s="62"/>
      <c r="M251" s="62"/>
      <c r="N251" s="119"/>
      <c r="O251" s="231">
        <f>SUM(Fluxo_de_Caixa_Janeiro3102013[[#This Row],[Janeiro]:[Dezembro]])</f>
        <v>0</v>
      </c>
      <c r="P251" s="140" t="str">
        <f t="shared" si="13"/>
        <v>0,00%</v>
      </c>
      <c r="Q251" s="24" t="s">
        <v>240</v>
      </c>
      <c r="R251" s="32" t="str">
        <f>IF(Fluxo_de_Caixa_Janeiro3102013[[#This Row],[% ACUMULADO  2º SEMEST 2026]]&gt;=Fluxo_de_Caixa_Janeiro3102013[[#This Row],[Coluna1]],"VERDADEIRO","FALSO")</f>
        <v>VERDADEIRO</v>
      </c>
    </row>
    <row r="252" spans="2:18" x14ac:dyDescent="0.25">
      <c r="B252" s="49" t="str">
        <f>Fluxo_de_Caixa_Janeiro[[#This Row],[Fluxo de Caixa 2026 CTR]]</f>
        <v xml:space="preserve">4.2.04 Resgate de Consórcio </v>
      </c>
      <c r="C252" s="35"/>
      <c r="D252" s="62"/>
      <c r="E252" s="62"/>
      <c r="F252" s="62">
        <f>Fluxo_de_Caixa_Janeiro345[[#This Row],[ABRIL]]</f>
        <v>0</v>
      </c>
      <c r="G252" s="62">
        <f>Fluxo_de_Caixa_Janeiro3459[[#This Row],[MAIO]]</f>
        <v>0</v>
      </c>
      <c r="H252" s="62">
        <f>Fluxo_de_Caixa_Janeiro345911[[#This Row],[JUNHO]]</f>
        <v>0</v>
      </c>
      <c r="I252" s="35"/>
      <c r="J252" s="62"/>
      <c r="K252" s="62"/>
      <c r="L252" s="62"/>
      <c r="M252" s="62"/>
      <c r="N252" s="119"/>
      <c r="O252" s="231">
        <f>SUM(Fluxo_de_Caixa_Janeiro3102013[[#This Row],[Janeiro]:[Dezembro]])</f>
        <v>0</v>
      </c>
      <c r="P252" s="140" t="str">
        <f t="shared" si="13"/>
        <v>0,00%</v>
      </c>
      <c r="Q252" s="24" t="s">
        <v>240</v>
      </c>
      <c r="R252" s="32" t="str">
        <f>IF(Fluxo_de_Caixa_Janeiro3102013[[#This Row],[% ACUMULADO  2º SEMEST 2026]]&gt;=Fluxo_de_Caixa_Janeiro3102013[[#This Row],[Coluna1]],"VERDADEIRO","FALSO")</f>
        <v>VERDADEIRO</v>
      </c>
    </row>
    <row r="253" spans="2:18" x14ac:dyDescent="0.25">
      <c r="B253" s="49" t="str">
        <f>Fluxo_de_Caixa_Janeiro[[#This Row],[Fluxo de Caixa 2026 CTR]]</f>
        <v>4.2.05 Venda de Ativo Imobilizado</v>
      </c>
      <c r="C253" s="35"/>
      <c r="D253" s="62"/>
      <c r="E253" s="62"/>
      <c r="F253" s="62">
        <f>Fluxo_de_Caixa_Janeiro345[[#This Row],[ABRIL]]</f>
        <v>0</v>
      </c>
      <c r="G253" s="62">
        <f>Fluxo_de_Caixa_Janeiro3459[[#This Row],[MAIO]]</f>
        <v>0</v>
      </c>
      <c r="H253" s="62">
        <f>Fluxo_de_Caixa_Janeiro345911[[#This Row],[JUNHO]]</f>
        <v>0</v>
      </c>
      <c r="I253" s="35"/>
      <c r="J253" s="62"/>
      <c r="K253" s="62"/>
      <c r="L253" s="62"/>
      <c r="M253" s="62"/>
      <c r="N253" s="119"/>
      <c r="O253" s="231">
        <f>SUM(Fluxo_de_Caixa_Janeiro3102013[[#This Row],[Janeiro]:[Dezembro]])</f>
        <v>0</v>
      </c>
      <c r="P253" s="140" t="str">
        <f t="shared" si="13"/>
        <v>0,00%</v>
      </c>
      <c r="Q253" s="24" t="s">
        <v>240</v>
      </c>
      <c r="R253" s="32" t="str">
        <f>IF(Fluxo_de_Caixa_Janeiro3102013[[#This Row],[% ACUMULADO  2º SEMEST 2026]]&gt;=Fluxo_de_Caixa_Janeiro3102013[[#This Row],[Coluna1]],"VERDADEIRO","FALSO")</f>
        <v>VERDADEIRO</v>
      </c>
    </row>
    <row r="254" spans="2:18" x14ac:dyDescent="0.25">
      <c r="B254" s="49" t="str">
        <f>Fluxo_de_Caixa_Janeiro[[#This Row],[Fluxo de Caixa 2026 CTR]]</f>
        <v>4.2.06 Rendimentos CDB/Fundos/Alugueis</v>
      </c>
      <c r="C254" s="35"/>
      <c r="D254" s="62"/>
      <c r="E254" s="62"/>
      <c r="F254" s="62">
        <f>Fluxo_de_Caixa_Janeiro345[[#This Row],[ABRIL]]</f>
        <v>550</v>
      </c>
      <c r="G254" s="62">
        <f>Fluxo_de_Caixa_Janeiro3459[[#This Row],[MAIO]]</f>
        <v>788.05</v>
      </c>
      <c r="H254" s="62">
        <f>Fluxo_de_Caixa_Janeiro345911[[#This Row],[JUNHO]]</f>
        <v>0</v>
      </c>
      <c r="I254" s="35"/>
      <c r="J254" s="62"/>
      <c r="K254" s="62"/>
      <c r="L254" s="62"/>
      <c r="M254" s="62"/>
      <c r="N254" s="119"/>
      <c r="O254" s="231">
        <f>SUM(Fluxo_de_Caixa_Janeiro3102013[[#This Row],[Janeiro]:[Dezembro]])</f>
        <v>1338.05</v>
      </c>
      <c r="P254" s="140">
        <f t="shared" si="13"/>
        <v>7.6010002542547508E-4</v>
      </c>
      <c r="Q254" s="24">
        <v>1.2952838990932324E-4</v>
      </c>
      <c r="R254" s="32" t="str">
        <f>IF(Fluxo_de_Caixa_Janeiro3102013[[#This Row],[% ACUMULADO  2º SEMEST 2026]]&gt;=Fluxo_de_Caixa_Janeiro3102013[[#This Row],[Coluna1]],"VERDADEIRO","FALSO")</f>
        <v>VERDADEIRO</v>
      </c>
    </row>
    <row r="255" spans="2:18" x14ac:dyDescent="0.25">
      <c r="B255" s="49" t="str">
        <f>Fluxo_de_Caixa_Janeiro[[#This Row],[Fluxo de Caixa 2026 CTR]]</f>
        <v>4.2.07 Resgate de Capital Social</v>
      </c>
      <c r="C255" s="35"/>
      <c r="D255" s="62"/>
      <c r="E255" s="62"/>
      <c r="F255" s="62">
        <f>Fluxo_de_Caixa_Janeiro345[[#This Row],[ABRIL]]</f>
        <v>0</v>
      </c>
      <c r="G255" s="62">
        <f>Fluxo_de_Caixa_Janeiro3459[[#This Row],[MAIO]]</f>
        <v>0</v>
      </c>
      <c r="H255" s="62">
        <f>Fluxo_de_Caixa_Janeiro345911[[#This Row],[JUNHO]]</f>
        <v>0</v>
      </c>
      <c r="I255" s="35"/>
      <c r="J255" s="62"/>
      <c r="K255" s="62"/>
      <c r="L255" s="62"/>
      <c r="M255" s="62"/>
      <c r="N255" s="119"/>
      <c r="O255" s="231">
        <f>SUM(Fluxo_de_Caixa_Janeiro3102013[[#This Row],[Janeiro]:[Dezembro]])</f>
        <v>0</v>
      </c>
      <c r="P255" s="140" t="str">
        <f t="shared" si="13"/>
        <v>0,00%</v>
      </c>
      <c r="Q255" s="24" t="s">
        <v>240</v>
      </c>
      <c r="R255" s="32" t="str">
        <f>IF(Fluxo_de_Caixa_Janeiro3102013[[#This Row],[% ACUMULADO  2º SEMEST 2026]]&gt;=Fluxo_de_Caixa_Janeiro3102013[[#This Row],[Coluna1]],"VERDADEIRO","FALSO")</f>
        <v>VERDADEIRO</v>
      </c>
    </row>
    <row r="256" spans="2:18" x14ac:dyDescent="0.25">
      <c r="B256" s="49" t="str">
        <f>Fluxo_de_Caixa_Janeiro[[#This Row],[Fluxo de Caixa 2026 CTR]]</f>
        <v xml:space="preserve">4.2.08.INVESTIMENTO EMPRESAS DO MESMO </v>
      </c>
      <c r="C256" s="35"/>
      <c r="D256" s="62"/>
      <c r="E256" s="62"/>
      <c r="F256" s="62">
        <f>Fluxo_de_Caixa_Janeiro345[[#This Row],[ABRIL]]</f>
        <v>0</v>
      </c>
      <c r="G256" s="62">
        <f>Fluxo_de_Caixa_Janeiro3459[[#This Row],[MAIO]]</f>
        <v>0</v>
      </c>
      <c r="H256" s="62">
        <f>Fluxo_de_Caixa_Janeiro345911[[#This Row],[JUNHO]]</f>
        <v>0</v>
      </c>
      <c r="I256" s="35"/>
      <c r="J256" s="62"/>
      <c r="K256" s="62"/>
      <c r="L256" s="62"/>
      <c r="M256" s="62"/>
      <c r="N256" s="119"/>
      <c r="O256" s="231">
        <f>SUM(Fluxo_de_Caixa_Janeiro3102013[[#This Row],[Janeiro]:[Dezembro]])</f>
        <v>0</v>
      </c>
      <c r="P256" s="140" t="str">
        <f t="shared" si="13"/>
        <v>0,00%</v>
      </c>
      <c r="Q256" s="24" t="s">
        <v>240</v>
      </c>
      <c r="R256" s="32" t="str">
        <f>IF(Fluxo_de_Caixa_Janeiro3102013[[#This Row],[% ACUMULADO  2º SEMEST 2026]]&gt;=Fluxo_de_Caixa_Janeiro3102013[[#This Row],[Coluna1]],"VERDADEIRO","FALSO")</f>
        <v>VERDADEIRO</v>
      </c>
    </row>
    <row r="257" spans="2:18" ht="15.75" thickBot="1" x14ac:dyDescent="0.3">
      <c r="B257" s="49" t="str">
        <f>Fluxo_de_Caixa_Janeiro[[#This Row],[Fluxo de Caixa 2026 CTR]]</f>
        <v>4.2.09.APORTE DE CAPITAL SOCIAL</v>
      </c>
      <c r="C257" s="35"/>
      <c r="D257" s="62"/>
      <c r="E257" s="62"/>
      <c r="F257" s="62">
        <f>Fluxo_de_Caixa_Janeiro345[[#This Row],[ABRIL]]</f>
        <v>0</v>
      </c>
      <c r="G257" s="62">
        <f>Fluxo_de_Caixa_Janeiro3459[[#This Row],[MAIO]]</f>
        <v>0</v>
      </c>
      <c r="H257" s="62">
        <f>Fluxo_de_Caixa_Janeiro345911[[#This Row],[JUNHO]]</f>
        <v>0</v>
      </c>
      <c r="I257" s="35"/>
      <c r="J257" s="62"/>
      <c r="K257" s="62"/>
      <c r="L257" s="62"/>
      <c r="M257" s="62"/>
      <c r="N257" s="119"/>
      <c r="O257" s="231">
        <f>SUM(Fluxo_de_Caixa_Janeiro3102013[[#This Row],[Janeiro]:[Dezembro]])</f>
        <v>0</v>
      </c>
      <c r="P257" s="140" t="str">
        <f t="shared" si="13"/>
        <v>0,00%</v>
      </c>
      <c r="Q257" s="24" t="s">
        <v>240</v>
      </c>
      <c r="R257" s="32" t="str">
        <f>IF(Fluxo_de_Caixa_Janeiro3102013[[#This Row],[% ACUMULADO  2º SEMEST 2026]]&gt;=Fluxo_de_Caixa_Janeiro3102013[[#This Row],[Coluna1]],"VERDADEIRO","FALSO")</f>
        <v>VERDADEIRO</v>
      </c>
    </row>
    <row r="258" spans="2:18" hidden="1" x14ac:dyDescent="0.25">
      <c r="B258" s="49">
        <f>Fluxo_de_Caixa_Janeiro[[#This Row],[Fluxo de Caixa 2026 CTR]]</f>
        <v>0</v>
      </c>
      <c r="C258" s="35"/>
      <c r="D258" s="62"/>
      <c r="E258" s="62"/>
      <c r="F258" s="62">
        <f>Fluxo_de_Caixa_Janeiro345[[#This Row],[ABRIL]]</f>
        <v>0</v>
      </c>
      <c r="G258" s="62">
        <f>Fluxo_de_Caixa_Janeiro3459[[#This Row],[MAIO]]</f>
        <v>0</v>
      </c>
      <c r="H258" s="62">
        <f>Fluxo_de_Caixa_Janeiro345911[[#This Row],[JUNHO]]</f>
        <v>0</v>
      </c>
      <c r="I258" s="35"/>
      <c r="J258" s="62"/>
      <c r="K258" s="62"/>
      <c r="L258" s="62"/>
      <c r="M258" s="62"/>
      <c r="N258" s="119"/>
      <c r="O258" s="231">
        <f>SUM(Fluxo_de_Caixa_Janeiro3102013[[#This Row],[Janeiro]:[Dezembro]])</f>
        <v>0</v>
      </c>
      <c r="P258" s="140" t="str">
        <f t="shared" si="13"/>
        <v>0,00%</v>
      </c>
      <c r="Q258" s="24" t="s">
        <v>240</v>
      </c>
      <c r="R258" s="32" t="str">
        <f>IF(Fluxo_de_Caixa_Janeiro3102013[[#This Row],[% ACUMULADO  2º SEMEST 2026]]&gt;=Fluxo_de_Caixa_Janeiro3102013[[#This Row],[Coluna1]],"VERDADEIRO","FALSO")</f>
        <v>VERDADEIRO</v>
      </c>
    </row>
    <row r="259" spans="2:18" hidden="1" x14ac:dyDescent="0.25">
      <c r="B259" s="49">
        <f>Fluxo_de_Caixa_Janeiro[[#This Row],[Fluxo de Caixa 2026 CTR]]</f>
        <v>0</v>
      </c>
      <c r="C259" s="35"/>
      <c r="D259" s="62"/>
      <c r="E259" s="62"/>
      <c r="F259" s="62">
        <f>Fluxo_de_Caixa_Janeiro345[[#This Row],[ABRIL]]</f>
        <v>0</v>
      </c>
      <c r="G259" s="62">
        <f>Fluxo_de_Caixa_Janeiro3459[[#This Row],[MAIO]]</f>
        <v>0</v>
      </c>
      <c r="H259" s="62">
        <f>Fluxo_de_Caixa_Janeiro345911[[#This Row],[JUNHO]]</f>
        <v>0</v>
      </c>
      <c r="I259" s="35"/>
      <c r="J259" s="62"/>
      <c r="K259" s="62"/>
      <c r="L259" s="62"/>
      <c r="M259" s="62"/>
      <c r="N259" s="119"/>
      <c r="O259" s="231">
        <f>SUM(Fluxo_de_Caixa_Janeiro3102013[[#This Row],[Janeiro]:[Dezembro]])</f>
        <v>0</v>
      </c>
      <c r="P259" s="140" t="str">
        <f t="shared" si="13"/>
        <v>0,00%</v>
      </c>
      <c r="Q259" s="24" t="s">
        <v>240</v>
      </c>
      <c r="R259" s="32" t="str">
        <f>IF(Fluxo_de_Caixa_Janeiro3102013[[#This Row],[% ACUMULADO  2º SEMEST 2026]]&gt;=Fluxo_de_Caixa_Janeiro3102013[[#This Row],[Coluna1]],"VERDADEIRO","FALSO")</f>
        <v>VERDADEIRO</v>
      </c>
    </row>
    <row r="260" spans="2:18" ht="15.75" hidden="1" thickBot="1" x14ac:dyDescent="0.3">
      <c r="B260" s="56">
        <f>Fluxo_de_Caixa_Janeiro[[#This Row],[Fluxo de Caixa 2026 CTR]]</f>
        <v>0</v>
      </c>
      <c r="C260" s="36"/>
      <c r="D260" s="82"/>
      <c r="E260" s="82"/>
      <c r="F260" s="82">
        <f>Fluxo_de_Caixa_Janeiro345[[#This Row],[ABRIL]]</f>
        <v>0</v>
      </c>
      <c r="G260" s="82">
        <f>Fluxo_de_Caixa_Janeiro3459[[#This Row],[MAIO]]</f>
        <v>0</v>
      </c>
      <c r="H260" s="82">
        <f>Fluxo_de_Caixa_Janeiro345911[[#This Row],[JUNHO]]</f>
        <v>0</v>
      </c>
      <c r="I260" s="36"/>
      <c r="J260" s="82"/>
      <c r="K260" s="82"/>
      <c r="L260" s="82"/>
      <c r="M260" s="82"/>
      <c r="N260" s="120"/>
      <c r="O260" s="232">
        <f>SUM(Fluxo_de_Caixa_Janeiro3102013[[#This Row],[Janeiro]:[Dezembro]])</f>
        <v>0</v>
      </c>
      <c r="P260" s="141" t="str">
        <f t="shared" si="13"/>
        <v>0,00%</v>
      </c>
      <c r="Q260" s="59" t="s">
        <v>240</v>
      </c>
      <c r="R260" s="32" t="str">
        <f>IF(Fluxo_de_Caixa_Janeiro3102013[[#This Row],[% ACUMULADO  2º SEMEST 2026]]&gt;=Fluxo_de_Caixa_Janeiro3102013[[#This Row],[Coluna1]],"VERDADEIRO","FALSO")</f>
        <v>VERDADEIRO</v>
      </c>
    </row>
    <row r="261" spans="2:18" s="1" customFormat="1" ht="24" thickBot="1" x14ac:dyDescent="0.4">
      <c r="B261" s="48" t="str">
        <f>Fluxo_de_Caixa_Janeiro[[#This Row],[Fluxo de Caixa 2026 CTR]]</f>
        <v>4.3. Receitas Financeiras</v>
      </c>
      <c r="C261" s="38"/>
      <c r="D261" s="87"/>
      <c r="E261" s="87"/>
      <c r="F261" s="87">
        <f>Fluxo_de_Caixa_Janeiro345[[#This Row],[ABRIL]]</f>
        <v>550</v>
      </c>
      <c r="G261" s="87">
        <f>Fluxo_de_Caixa_Janeiro3459[[#This Row],[MAIO]]</f>
        <v>0</v>
      </c>
      <c r="H261" s="87">
        <f>Fluxo_de_Caixa_Janeiro345911[[#This Row],[JUNHO]]</f>
        <v>0</v>
      </c>
      <c r="I261" s="38"/>
      <c r="J261" s="87"/>
      <c r="K261" s="87"/>
      <c r="L261" s="87"/>
      <c r="M261" s="87"/>
      <c r="N261" s="125"/>
      <c r="O261" s="216">
        <f>SUM(Fluxo_de_Caixa_Janeiro3102013[[#This Row],[Janeiro]:[Dezembro]])</f>
        <v>550</v>
      </c>
      <c r="P261" s="247">
        <f t="shared" si="13"/>
        <v>3.1243601807407146E-4</v>
      </c>
      <c r="Q261" s="19">
        <v>9.1649607237899432E-6</v>
      </c>
      <c r="R261" s="32" t="str">
        <f>IF(Fluxo_de_Caixa_Janeiro3102013[[#This Row],[% ACUMULADO  2º SEMEST 2026]]&gt;=Fluxo_de_Caixa_Janeiro3102013[[#This Row],[Coluna1]],"VERDADEIRO","FALSO")</f>
        <v>VERDADEIRO</v>
      </c>
    </row>
    <row r="262" spans="2:18" x14ac:dyDescent="0.25">
      <c r="B262" s="49" t="str">
        <f>Fluxo_de_Caixa_Janeiro[[#This Row],[Fluxo de Caixa 2026 CTR]]</f>
        <v>4.3.01. JUROS E MULTAS RECEBIDOS</v>
      </c>
      <c r="C262" s="41"/>
      <c r="D262" s="81"/>
      <c r="E262" s="81"/>
      <c r="F262" s="81">
        <f>Fluxo_de_Caixa_Janeiro345[[#This Row],[ABRIL]]</f>
        <v>0</v>
      </c>
      <c r="G262" s="81">
        <f>Fluxo_de_Caixa_Janeiro3459[[#This Row],[MAIO]]</f>
        <v>0</v>
      </c>
      <c r="H262" s="81">
        <f>Fluxo_de_Caixa_Janeiro345911[[#This Row],[JUNHO]]</f>
        <v>0</v>
      </c>
      <c r="I262" s="41"/>
      <c r="J262" s="81"/>
      <c r="K262" s="81"/>
      <c r="L262" s="81"/>
      <c r="M262" s="81"/>
      <c r="N262" s="118"/>
      <c r="O262" s="230">
        <f>SUM(Fluxo_de_Caixa_Janeiro3102013[[#This Row],[Janeiro]:[Dezembro]])</f>
        <v>0</v>
      </c>
      <c r="P262" s="29" t="str">
        <f t="shared" si="13"/>
        <v>0,00%</v>
      </c>
      <c r="Q262" s="20" t="s">
        <v>240</v>
      </c>
      <c r="R262" s="32" t="str">
        <f>IF(Fluxo_de_Caixa_Janeiro3102013[[#This Row],[% ACUMULADO  2º SEMEST 2026]]&gt;=Fluxo_de_Caixa_Janeiro3102013[[#This Row],[Coluna1]],"VERDADEIRO","FALSO")</f>
        <v>VERDADEIRO</v>
      </c>
    </row>
    <row r="263" spans="2:18" x14ac:dyDescent="0.25">
      <c r="B263" s="50" t="str">
        <f>Fluxo_de_Caixa_Janeiro[[#This Row],[Fluxo de Caixa 2026 CTR]]</f>
        <v>4.3.02. SOBRA ACERTO CAIXA</v>
      </c>
      <c r="C263" s="35"/>
      <c r="D263" s="62"/>
      <c r="E263" s="62"/>
      <c r="F263" s="62">
        <f>Fluxo_de_Caixa_Janeiro345[[#This Row],[ABRIL]]</f>
        <v>0</v>
      </c>
      <c r="G263" s="62">
        <f>Fluxo_de_Caixa_Janeiro3459[[#This Row],[MAIO]]</f>
        <v>0</v>
      </c>
      <c r="H263" s="62">
        <f>Fluxo_de_Caixa_Janeiro345911[[#This Row],[JUNHO]]</f>
        <v>0</v>
      </c>
      <c r="I263" s="35"/>
      <c r="J263" s="62"/>
      <c r="K263" s="62"/>
      <c r="L263" s="62"/>
      <c r="M263" s="62"/>
      <c r="N263" s="119"/>
      <c r="O263" s="231">
        <f>SUM(Fluxo_de_Caixa_Janeiro3102013[[#This Row],[Janeiro]:[Dezembro]])</f>
        <v>0</v>
      </c>
      <c r="P263" s="140" t="str">
        <f t="shared" si="13"/>
        <v>0,00%</v>
      </c>
      <c r="Q263" s="24" t="s">
        <v>240</v>
      </c>
      <c r="R263" s="32" t="str">
        <f>IF(Fluxo_de_Caixa_Janeiro3102013[[#This Row],[% ACUMULADO  2º SEMEST 2026]]&gt;=Fluxo_de_Caixa_Janeiro3102013[[#This Row],[Coluna1]],"VERDADEIRO","FALSO")</f>
        <v>VERDADEIRO</v>
      </c>
    </row>
    <row r="264" spans="2:18" x14ac:dyDescent="0.25">
      <c r="B264" s="50" t="str">
        <f>Fluxo_de_Caixa_Janeiro[[#This Row],[Fluxo de Caixa 2026 CTR]]</f>
        <v>4.3.03. DESCONTOS OBTIDOS</v>
      </c>
      <c r="C264" s="35"/>
      <c r="D264" s="62"/>
      <c r="E264" s="62"/>
      <c r="F264" s="62">
        <f>Fluxo_de_Caixa_Janeiro345[[#This Row],[ABRIL]]</f>
        <v>0</v>
      </c>
      <c r="G264" s="62">
        <f>Fluxo_de_Caixa_Janeiro3459[[#This Row],[MAIO]]</f>
        <v>0</v>
      </c>
      <c r="H264" s="62">
        <f>Fluxo_de_Caixa_Janeiro345911[[#This Row],[JUNHO]]</f>
        <v>0</v>
      </c>
      <c r="I264" s="35"/>
      <c r="J264" s="62"/>
      <c r="K264" s="62"/>
      <c r="L264" s="62"/>
      <c r="M264" s="62"/>
      <c r="N264" s="119"/>
      <c r="O264" s="231">
        <f>SUM(Fluxo_de_Caixa_Janeiro3102013[[#This Row],[Janeiro]:[Dezembro]])</f>
        <v>0</v>
      </c>
      <c r="P264" s="140" t="str">
        <f t="shared" si="13"/>
        <v>0,00%</v>
      </c>
      <c r="Q264" s="24" t="s">
        <v>240</v>
      </c>
      <c r="R264" s="32" t="str">
        <f>IF(Fluxo_de_Caixa_Janeiro3102013[[#This Row],[% ACUMULADO  2º SEMEST 2026]]&gt;=Fluxo_de_Caixa_Janeiro3102013[[#This Row],[Coluna1]],"VERDADEIRO","FALSO")</f>
        <v>VERDADEIRO</v>
      </c>
    </row>
    <row r="265" spans="2:18" x14ac:dyDescent="0.25">
      <c r="B265" s="50" t="str">
        <f>Fluxo_de_Caixa_Janeiro[[#This Row],[Fluxo de Caixa 2026 CTR]]</f>
        <v>4.3.04. OUTRAS RECEITAS FINANCEIRAS</v>
      </c>
      <c r="C265" s="35"/>
      <c r="D265" s="62"/>
      <c r="E265" s="62"/>
      <c r="F265" s="62">
        <f>Fluxo_de_Caixa_Janeiro345[[#This Row],[ABRIL]]</f>
        <v>0</v>
      </c>
      <c r="G265" s="62">
        <f>Fluxo_de_Caixa_Janeiro3459[[#This Row],[MAIO]]</f>
        <v>0</v>
      </c>
      <c r="H265" s="62">
        <f>Fluxo_de_Caixa_Janeiro345911[[#This Row],[JUNHO]]</f>
        <v>0</v>
      </c>
      <c r="I265" s="35"/>
      <c r="J265" s="62"/>
      <c r="K265" s="62"/>
      <c r="L265" s="62"/>
      <c r="M265" s="62"/>
      <c r="N265" s="119"/>
      <c r="O265" s="231">
        <f>SUM(Fluxo_de_Caixa_Janeiro3102013[[#This Row],[Janeiro]:[Dezembro]])</f>
        <v>0</v>
      </c>
      <c r="P265" s="140" t="str">
        <f t="shared" si="13"/>
        <v>0,00%</v>
      </c>
      <c r="Q265" s="24" t="s">
        <v>240</v>
      </c>
      <c r="R265" s="32" t="str">
        <f>IF(Fluxo_de_Caixa_Janeiro3102013[[#This Row],[% ACUMULADO  2º SEMEST 2026]]&gt;=Fluxo_de_Caixa_Janeiro3102013[[#This Row],[Coluna1]],"VERDADEIRO","FALSO")</f>
        <v>VERDADEIRO</v>
      </c>
    </row>
    <row r="266" spans="2:18" x14ac:dyDescent="0.25">
      <c r="B266" s="393" t="str">
        <f>Fluxo_de_Caixa_Janeiro[[#This Row],[Fluxo de Caixa 2026 CTR]]</f>
        <v>4.3.05. RECEITA DE BRINDE E EXPOSITORES</v>
      </c>
      <c r="C266" s="357"/>
      <c r="D266" s="306"/>
      <c r="E266" s="306"/>
      <c r="F266" s="306">
        <f>Fluxo_de_Caixa_Janeiro345[[#This Row],[ABRIL]]</f>
        <v>0</v>
      </c>
      <c r="G266" s="306">
        <f>Fluxo_de_Caixa_Janeiro3459[[#This Row],[MAIO]]</f>
        <v>0</v>
      </c>
      <c r="H266" s="306">
        <f>Fluxo_de_Caixa_Janeiro345911[[#This Row],[JUNHO]]</f>
        <v>0</v>
      </c>
      <c r="I266" s="357"/>
      <c r="J266" s="306"/>
      <c r="K266" s="306"/>
      <c r="L266" s="306"/>
      <c r="M266" s="306"/>
      <c r="N266" s="360"/>
      <c r="O266" s="231">
        <f>SUM(Fluxo_de_Caixa_Janeiro3102013[[#This Row],[Janeiro]:[Dezembro]])</f>
        <v>0</v>
      </c>
      <c r="P266" s="140" t="str">
        <f t="shared" si="13"/>
        <v>0,00%</v>
      </c>
      <c r="Q266" s="24" t="s">
        <v>240</v>
      </c>
      <c r="R266" s="32"/>
    </row>
    <row r="267" spans="2:18" hidden="1" x14ac:dyDescent="0.25">
      <c r="B267" s="364">
        <f>Fluxo_de_Caixa_Janeiro[[#This Row],[Fluxo de Caixa 2026 CTR]]</f>
        <v>0</v>
      </c>
      <c r="C267" s="357"/>
      <c r="D267" s="306"/>
      <c r="E267" s="306"/>
      <c r="F267" s="306">
        <f>Fluxo_de_Caixa_Janeiro345[[#This Row],[ABRIL]]</f>
        <v>0</v>
      </c>
      <c r="G267" s="306">
        <f>Fluxo_de_Caixa_Janeiro3459[[#This Row],[MAIO]]</f>
        <v>0</v>
      </c>
      <c r="H267" s="306">
        <f>Fluxo_de_Caixa_Janeiro345911[[#This Row],[JUNHO]]</f>
        <v>0</v>
      </c>
      <c r="I267" s="357"/>
      <c r="J267" s="306"/>
      <c r="K267" s="306"/>
      <c r="L267" s="306"/>
      <c r="M267" s="306"/>
      <c r="N267" s="360"/>
      <c r="O267" s="231">
        <f>SUM(Fluxo_de_Caixa_Janeiro3102013[[#This Row],[Janeiro]:[Dezembro]])</f>
        <v>0</v>
      </c>
      <c r="P267" s="140" t="str">
        <f t="shared" si="13"/>
        <v>0,00%</v>
      </c>
      <c r="Q267" s="24" t="s">
        <v>240</v>
      </c>
      <c r="R267" s="32"/>
    </row>
    <row r="268" spans="2:18" x14ac:dyDescent="0.25">
      <c r="B268" s="364" t="str">
        <f>Fluxo_de_Caixa_Janeiro[[#This Row],[Fluxo de Caixa 2026 CTR]]</f>
        <v>4.3.07. RECEITA NÃO IDENTIFICADA</v>
      </c>
      <c r="C268" s="357"/>
      <c r="D268" s="306"/>
      <c r="E268" s="306"/>
      <c r="F268" s="306">
        <f>Fluxo_de_Caixa_Janeiro345[[#This Row],[ABRIL]]</f>
        <v>0</v>
      </c>
      <c r="G268" s="306">
        <f>Fluxo_de_Caixa_Janeiro3459[[#This Row],[MAIO]]</f>
        <v>0</v>
      </c>
      <c r="H268" s="306">
        <f>Fluxo_de_Caixa_Janeiro345911[[#This Row],[JUNHO]]</f>
        <v>0</v>
      </c>
      <c r="I268" s="357"/>
      <c r="J268" s="306"/>
      <c r="K268" s="306"/>
      <c r="L268" s="306"/>
      <c r="M268" s="306"/>
      <c r="N268" s="360"/>
      <c r="O268" s="231">
        <f>SUM(Fluxo_de_Caixa_Janeiro3102013[[#This Row],[Janeiro]:[Dezembro]])</f>
        <v>0</v>
      </c>
      <c r="P268" s="140" t="str">
        <f t="shared" si="13"/>
        <v>0,00%</v>
      </c>
      <c r="Q268" s="24">
        <v>9.1649607237899432E-6</v>
      </c>
      <c r="R268" s="32"/>
    </row>
    <row r="269" spans="2:18" x14ac:dyDescent="0.25">
      <c r="B269" s="364" t="str">
        <f>Fluxo_de_Caixa_Janeiro[[#This Row],[Fluxo de Caixa 2026 CTR]]</f>
        <v>4.3.08. DESPESAS NÃO IDENTIFICADAS ( - )</v>
      </c>
      <c r="C269" s="357"/>
      <c r="D269" s="306"/>
      <c r="E269" s="306"/>
      <c r="F269" s="306">
        <f>Fluxo_de_Caixa_Janeiro345[[#This Row],[ABRIL]]</f>
        <v>0</v>
      </c>
      <c r="G269" s="306">
        <f>Fluxo_de_Caixa_Janeiro3459[[#This Row],[MAIO]]</f>
        <v>0</v>
      </c>
      <c r="H269" s="306">
        <f>Fluxo_de_Caixa_Janeiro345911[[#This Row],[JUNHO]]</f>
        <v>0</v>
      </c>
      <c r="I269" s="357"/>
      <c r="J269" s="306"/>
      <c r="K269" s="306"/>
      <c r="L269" s="306"/>
      <c r="M269" s="306"/>
      <c r="N269" s="360"/>
      <c r="O269" s="231">
        <f>SUM(Fluxo_de_Caixa_Janeiro3102013[[#This Row],[Janeiro]:[Dezembro]])</f>
        <v>0</v>
      </c>
      <c r="P269" s="140" t="str">
        <f t="shared" si="13"/>
        <v>0,00%</v>
      </c>
      <c r="Q269" s="24" t="s">
        <v>240</v>
      </c>
      <c r="R269" s="32"/>
    </row>
    <row r="270" spans="2:18" x14ac:dyDescent="0.25">
      <c r="B270" s="393" t="str">
        <f>Fluxo_de_Caixa_Janeiro[[#This Row],[Fluxo de Caixa 2026 CTR]]</f>
        <v>4.3.09. PATROCÍNIO  EM DINHEIRO</v>
      </c>
      <c r="C270" s="358"/>
      <c r="D270" s="359"/>
      <c r="E270" s="359"/>
      <c r="F270" s="359">
        <f>Fluxo_de_Caixa_Janeiro345[[#This Row],[ABRIL]]</f>
        <v>550</v>
      </c>
      <c r="G270" s="359">
        <f>Fluxo_de_Caixa_Janeiro3459[[#This Row],[MAIO]]</f>
        <v>0</v>
      </c>
      <c r="H270" s="359">
        <f>Fluxo_de_Caixa_Janeiro345911[[#This Row],[JUNHO]]</f>
        <v>0</v>
      </c>
      <c r="I270" s="358"/>
      <c r="J270" s="359"/>
      <c r="K270" s="359"/>
      <c r="L270" s="359"/>
      <c r="M270" s="359"/>
      <c r="N270" s="361"/>
      <c r="O270" s="231">
        <f>SUM(Fluxo_de_Caixa_Janeiro3102013[[#This Row],[Janeiro]:[Dezembro]])</f>
        <v>550</v>
      </c>
      <c r="P270" s="140">
        <f t="shared" si="13"/>
        <v>3.1243601807407146E-4</v>
      </c>
      <c r="Q270" s="24" t="s">
        <v>240</v>
      </c>
      <c r="R270" s="32"/>
    </row>
    <row r="271" spans="2:18" ht="15.75" thickBot="1" x14ac:dyDescent="0.3">
      <c r="B271" s="393" t="str">
        <f>Fluxo_de_Caixa_Janeiro[[#This Row],[Fluxo de Caixa 2026 CTR]]</f>
        <v>4.3.10. BONIFICAÇÃO EM PRODUTOS</v>
      </c>
      <c r="C271" s="358"/>
      <c r="D271" s="359"/>
      <c r="E271" s="359"/>
      <c r="F271" s="359">
        <f>Fluxo_de_Caixa_Janeiro345[[#This Row],[ABRIL]]</f>
        <v>0</v>
      </c>
      <c r="G271" s="359">
        <f>Fluxo_de_Caixa_Janeiro3459[[#This Row],[MAIO]]</f>
        <v>0</v>
      </c>
      <c r="H271" s="359">
        <f>Fluxo_de_Caixa_Janeiro345911[[#This Row],[JUNHO]]</f>
        <v>0</v>
      </c>
      <c r="I271" s="358"/>
      <c r="J271" s="359"/>
      <c r="K271" s="359"/>
      <c r="L271" s="359"/>
      <c r="M271" s="359"/>
      <c r="N271" s="361"/>
      <c r="O271" s="231">
        <f>SUM(Fluxo_de_Caixa_Janeiro3102013[[#This Row],[Janeiro]:[Dezembro]])</f>
        <v>0</v>
      </c>
      <c r="P271" s="140" t="str">
        <f t="shared" si="13"/>
        <v>0,00%</v>
      </c>
      <c r="Q271" s="24" t="s">
        <v>240</v>
      </c>
      <c r="R271" s="32"/>
    </row>
    <row r="272" spans="2:18" ht="25.15" customHeight="1" thickBot="1" x14ac:dyDescent="0.45">
      <c r="B272" s="269" t="str">
        <f>Fluxo_de_Caixa_Janeiro[[#This Row],[Fluxo de Caixa 2026 CTR]]</f>
        <v>Despesas Não Operacional</v>
      </c>
      <c r="C272" s="191"/>
      <c r="D272" s="250"/>
      <c r="E272" s="250"/>
      <c r="F272" s="250">
        <f>Fluxo_de_Caixa_Janeiro345[[#This Row],[ABRIL]]</f>
        <v>0</v>
      </c>
      <c r="G272" s="250">
        <f>Fluxo_de_Caixa_Janeiro3459[[#This Row],[MAIO]]</f>
        <v>0</v>
      </c>
      <c r="H272" s="250">
        <f>Fluxo_de_Caixa_Janeiro345911[[#This Row],[JUNHO]]</f>
        <v>0</v>
      </c>
      <c r="I272" s="191"/>
      <c r="J272" s="250"/>
      <c r="K272" s="250"/>
      <c r="L272" s="250"/>
      <c r="M272" s="250"/>
      <c r="N272" s="288"/>
      <c r="O272" s="233"/>
      <c r="P272" s="146"/>
      <c r="Q272" s="60"/>
      <c r="R272" s="32" t="str">
        <f>IF(Fluxo_de_Caixa_Janeiro3102013[[#This Row],[% ACUMULADO  2º SEMEST 2026]]&gt;=Fluxo_de_Caixa_Janeiro3102013[[#This Row],[Coluna1]],"VERDADEIRO","FALSO")</f>
        <v>VERDADEIRO</v>
      </c>
    </row>
    <row r="273" spans="2:18" ht="24" customHeight="1" thickBot="1" x14ac:dyDescent="0.4">
      <c r="B273" s="278" t="str">
        <f>Fluxo_de_Caixa_Janeiro[[#This Row],[Fluxo de Caixa 2026 CTR]]</f>
        <v>5.1. EMPRESTIMO / FINANCIAMENTO</v>
      </c>
      <c r="C273" s="157"/>
      <c r="D273" s="94"/>
      <c r="E273" s="94"/>
      <c r="F273" s="94">
        <f>Fluxo_de_Caixa_Janeiro345[[#This Row],[ABRIL]]</f>
        <v>-18250.93</v>
      </c>
      <c r="G273" s="94">
        <f>Fluxo_de_Caixa_Janeiro3459[[#This Row],[MAIO]]</f>
        <v>-31458.48</v>
      </c>
      <c r="H273" s="94">
        <f>Fluxo_de_Caixa_Janeiro345911[[#This Row],[JUNHO]]</f>
        <v>0</v>
      </c>
      <c r="I273" s="157"/>
      <c r="J273" s="94"/>
      <c r="K273" s="94"/>
      <c r="L273" s="94"/>
      <c r="M273" s="94"/>
      <c r="N273" s="128"/>
      <c r="O273" s="222">
        <f>SUM(Fluxo_de_Caixa_Janeiro3102013[[#This Row],[Janeiro]:[Dezembro]])</f>
        <v>-49709.41</v>
      </c>
      <c r="P273" s="143">
        <f t="shared" ref="P273:P325" si="14">-IFERROR(O273/$O$332,"0,00")</f>
        <v>2.8238200220384417E-2</v>
      </c>
      <c r="Q273" s="95">
        <v>0</v>
      </c>
      <c r="R273" s="32" t="str">
        <f>IF(Fluxo_de_Caixa_Janeiro3102013[[#This Row],[% ACUMULADO  2º SEMEST 2026]]&lt;=Fluxo_de_Caixa_Janeiro3102013[[#This Row],[Coluna1]],"VERDADEIRO","FALSO")</f>
        <v>FALSO</v>
      </c>
    </row>
    <row r="274" spans="2:18" x14ac:dyDescent="0.25">
      <c r="B274" s="279" t="str">
        <f>Fluxo_de_Caixa_Janeiro[[#This Row],[Fluxo de Caixa 2026 CTR]]</f>
        <v>5.1.01. BANCARIOS</v>
      </c>
      <c r="C274" s="162"/>
      <c r="D274" s="104"/>
      <c r="E274" s="104"/>
      <c r="F274" s="104">
        <f>Fluxo_de_Caixa_Janeiro345[[#This Row],[ABRIL]]</f>
        <v>18250.93</v>
      </c>
      <c r="G274" s="104">
        <f>Fluxo_de_Caixa_Janeiro3459[[#This Row],[MAIO]]</f>
        <v>31458.48</v>
      </c>
      <c r="H274" s="104">
        <f>Fluxo_de_Caixa_Janeiro345911[[#This Row],[JUNHO]]</f>
        <v>0</v>
      </c>
      <c r="I274" s="162"/>
      <c r="J274" s="104"/>
      <c r="K274" s="104"/>
      <c r="L274" s="104"/>
      <c r="M274" s="104"/>
      <c r="N274" s="133"/>
      <c r="O274" s="234">
        <f>SUM(Fluxo_de_Caixa_Janeiro3102013[[#This Row],[Janeiro]:[Dezembro]])</f>
        <v>49709.41</v>
      </c>
      <c r="P274" s="147">
        <f t="shared" si="14"/>
        <v>-2.8238200220384417E-2</v>
      </c>
      <c r="Q274" s="105">
        <v>0</v>
      </c>
      <c r="R274" s="32" t="str">
        <f>IF(Fluxo_de_Caixa_Janeiro3102013[[#This Row],[% ACUMULADO  2º SEMEST 2026]]&lt;=Fluxo_de_Caixa_Janeiro3102013[[#This Row],[Coluna1]],"VERDADEIRO","FALSO")</f>
        <v>VERDADEIRO</v>
      </c>
    </row>
    <row r="275" spans="2:18" x14ac:dyDescent="0.25">
      <c r="B275" s="270" t="str">
        <f>Fluxo_de_Caixa_Janeiro[[#This Row],[Fluxo de Caixa 2026 CTR]]</f>
        <v>5.1.02. FINANCIAMENTO</v>
      </c>
      <c r="C275" s="45"/>
      <c r="D275" s="80"/>
      <c r="E275" s="80"/>
      <c r="F275" s="80">
        <f>Fluxo_de_Caixa_Janeiro345[[#This Row],[ABRIL]]</f>
        <v>0</v>
      </c>
      <c r="G275" s="80">
        <f>Fluxo_de_Caixa_Janeiro3459[[#This Row],[MAIO]]</f>
        <v>0</v>
      </c>
      <c r="H275" s="80">
        <f>Fluxo_de_Caixa_Janeiro345911[[#This Row],[JUNHO]]</f>
        <v>0</v>
      </c>
      <c r="I275" s="45"/>
      <c r="J275" s="80"/>
      <c r="K275" s="80"/>
      <c r="L275" s="80"/>
      <c r="M275" s="80"/>
      <c r="N275" s="134"/>
      <c r="O275" s="235">
        <f>SUM(Fluxo_de_Caixa_Janeiro3102013[[#This Row],[Janeiro]:[Dezembro]])</f>
        <v>0</v>
      </c>
      <c r="P275" s="26">
        <f t="shared" si="14"/>
        <v>0</v>
      </c>
      <c r="Q275" s="76">
        <v>0</v>
      </c>
      <c r="R275" s="32" t="str">
        <f>IF(Fluxo_de_Caixa_Janeiro3102013[[#This Row],[% ACUMULADO  2º SEMEST 2026]]&lt;=Fluxo_de_Caixa_Janeiro3102013[[#This Row],[Coluna1]],"VERDADEIRO","FALSO")</f>
        <v>VERDADEIRO</v>
      </c>
    </row>
    <row r="276" spans="2:18" x14ac:dyDescent="0.25">
      <c r="B276" s="270" t="str">
        <f>Fluxo_de_Caixa_Janeiro[[#This Row],[Fluxo de Caixa 2026 CTR]]</f>
        <v>5.1.03. ENTRE EMPRESAS DO MESMO GRUPO</v>
      </c>
      <c r="C276" s="45"/>
      <c r="D276" s="80"/>
      <c r="E276" s="80"/>
      <c r="F276" s="80">
        <f>Fluxo_de_Caixa_Janeiro345[[#This Row],[ABRIL]]</f>
        <v>0</v>
      </c>
      <c r="G276" s="80">
        <f>Fluxo_de_Caixa_Janeiro3459[[#This Row],[MAIO]]</f>
        <v>0</v>
      </c>
      <c r="H276" s="80">
        <f>Fluxo_de_Caixa_Janeiro345911[[#This Row],[JUNHO]]</f>
        <v>0</v>
      </c>
      <c r="I276" s="45"/>
      <c r="J276" s="80"/>
      <c r="K276" s="80"/>
      <c r="L276" s="80"/>
      <c r="M276" s="80"/>
      <c r="N276" s="134"/>
      <c r="O276" s="235">
        <f>SUM(Fluxo_de_Caixa_Janeiro3102013[[#This Row],[Janeiro]:[Dezembro]])</f>
        <v>0</v>
      </c>
      <c r="P276" s="26">
        <f t="shared" si="14"/>
        <v>0</v>
      </c>
      <c r="Q276" s="76">
        <v>0</v>
      </c>
      <c r="R276" s="32" t="str">
        <f>IF(Fluxo_de_Caixa_Janeiro3102013[[#This Row],[% ACUMULADO  2º SEMEST 2026]]&lt;=Fluxo_de_Caixa_Janeiro3102013[[#This Row],[Coluna1]],"VERDADEIRO","FALSO")</f>
        <v>VERDADEIRO</v>
      </c>
    </row>
    <row r="277" spans="2:18" ht="15.75" thickBot="1" x14ac:dyDescent="0.3">
      <c r="B277" s="270" t="str">
        <f>Fluxo_de_Caixa_Janeiro[[#This Row],[Fluxo de Caixa 2026 CTR]]</f>
        <v>5.1.04. PESSOA FISICA</v>
      </c>
      <c r="C277" s="45"/>
      <c r="D277" s="80"/>
      <c r="E277" s="80"/>
      <c r="F277" s="80">
        <f>Fluxo_de_Caixa_Janeiro345[[#This Row],[ABRIL]]</f>
        <v>0</v>
      </c>
      <c r="G277" s="80">
        <f>Fluxo_de_Caixa_Janeiro3459[[#This Row],[MAIO]]</f>
        <v>0</v>
      </c>
      <c r="H277" s="80">
        <f>Fluxo_de_Caixa_Janeiro345911[[#This Row],[JUNHO]]</f>
        <v>0</v>
      </c>
      <c r="I277" s="45"/>
      <c r="J277" s="80"/>
      <c r="K277" s="80"/>
      <c r="L277" s="80"/>
      <c r="M277" s="80"/>
      <c r="N277" s="134"/>
      <c r="O277" s="235">
        <f>SUM(Fluxo_de_Caixa_Janeiro3102013[[#This Row],[Janeiro]:[Dezembro]])</f>
        <v>0</v>
      </c>
      <c r="P277" s="26">
        <f t="shared" si="14"/>
        <v>0</v>
      </c>
      <c r="Q277" s="76">
        <v>0</v>
      </c>
      <c r="R277" s="32" t="str">
        <f>IF(Fluxo_de_Caixa_Janeiro3102013[[#This Row],[% ACUMULADO  2º SEMEST 2026]]&lt;=Fluxo_de_Caixa_Janeiro3102013[[#This Row],[Coluna1]],"VERDADEIRO","FALSO")</f>
        <v>VERDADEIRO</v>
      </c>
    </row>
    <row r="278" spans="2:18" hidden="1" x14ac:dyDescent="0.25">
      <c r="B278" s="270">
        <f>Fluxo_de_Caixa_Janeiro[[#This Row],[Fluxo de Caixa 2026 CTR]]</f>
        <v>0</v>
      </c>
      <c r="C278" s="45"/>
      <c r="D278" s="80"/>
      <c r="E278" s="80"/>
      <c r="F278" s="80">
        <f>Fluxo_de_Caixa_Janeiro345[[#This Row],[ABRIL]]</f>
        <v>0</v>
      </c>
      <c r="G278" s="80">
        <f>Fluxo_de_Caixa_Janeiro3459[[#This Row],[MAIO]]</f>
        <v>0</v>
      </c>
      <c r="H278" s="80">
        <f>Fluxo_de_Caixa_Janeiro345911[[#This Row],[JUNHO]]</f>
        <v>0</v>
      </c>
      <c r="I278" s="45"/>
      <c r="J278" s="80"/>
      <c r="K278" s="80"/>
      <c r="L278" s="80"/>
      <c r="M278" s="80"/>
      <c r="N278" s="134"/>
      <c r="O278" s="235">
        <f>SUM(Fluxo_de_Caixa_Janeiro3102013[[#This Row],[Janeiro]:[Dezembro]])</f>
        <v>0</v>
      </c>
      <c r="P278" s="26">
        <f t="shared" si="14"/>
        <v>0</v>
      </c>
      <c r="Q278" s="76">
        <v>0</v>
      </c>
      <c r="R278" s="32" t="str">
        <f>IF(Fluxo_de_Caixa_Janeiro3102013[[#This Row],[% ACUMULADO  2º SEMEST 2026]]&lt;=Fluxo_de_Caixa_Janeiro3102013[[#This Row],[Coluna1]],"VERDADEIRO","FALSO")</f>
        <v>VERDADEIRO</v>
      </c>
    </row>
    <row r="279" spans="2:18" hidden="1" x14ac:dyDescent="0.25">
      <c r="B279" s="391">
        <f>Fluxo_de_Caixa_Janeiro[[#This Row],[Fluxo de Caixa 2026 CTR]]</f>
        <v>0</v>
      </c>
      <c r="C279" s="372"/>
      <c r="D279" s="374"/>
      <c r="E279" s="374"/>
      <c r="F279" s="374">
        <f>Fluxo_de_Caixa_Janeiro345[[#This Row],[ABRIL]]</f>
        <v>0</v>
      </c>
      <c r="G279" s="374">
        <f>Fluxo_de_Caixa_Janeiro3459[[#This Row],[MAIO]]</f>
        <v>0</v>
      </c>
      <c r="H279" s="374">
        <f>Fluxo_de_Caixa_Janeiro345911[[#This Row],[JUNHO]]</f>
        <v>0</v>
      </c>
      <c r="I279" s="372"/>
      <c r="J279" s="374"/>
      <c r="K279" s="374"/>
      <c r="L279" s="374"/>
      <c r="M279" s="374"/>
      <c r="N279" s="376"/>
      <c r="O279" s="235">
        <f>SUM(Fluxo_de_Caixa_Janeiro3102013[[#This Row],[Janeiro]:[Dezembro]])</f>
        <v>0</v>
      </c>
      <c r="P279" s="26">
        <f t="shared" si="14"/>
        <v>0</v>
      </c>
      <c r="Q279" s="76">
        <v>0</v>
      </c>
      <c r="R279" s="32"/>
    </row>
    <row r="280" spans="2:18" hidden="1" x14ac:dyDescent="0.25">
      <c r="B280" s="392">
        <f>Fluxo_de_Caixa_Janeiro[[#This Row],[Fluxo de Caixa 2026 CTR]]</f>
        <v>0</v>
      </c>
      <c r="C280" s="372"/>
      <c r="D280" s="374"/>
      <c r="E280" s="374"/>
      <c r="F280" s="374">
        <f>Fluxo_de_Caixa_Janeiro345[[#This Row],[ABRIL]]</f>
        <v>0</v>
      </c>
      <c r="G280" s="374">
        <f>Fluxo_de_Caixa_Janeiro3459[[#This Row],[MAIO]]</f>
        <v>0</v>
      </c>
      <c r="H280" s="374">
        <f>Fluxo_de_Caixa_Janeiro345911[[#This Row],[JUNHO]]</f>
        <v>0</v>
      </c>
      <c r="I280" s="372"/>
      <c r="J280" s="374"/>
      <c r="K280" s="374"/>
      <c r="L280" s="374"/>
      <c r="M280" s="374"/>
      <c r="N280" s="376"/>
      <c r="O280" s="235">
        <f>SUM(Fluxo_de_Caixa_Janeiro3102013[[#This Row],[Janeiro]:[Dezembro]])</f>
        <v>0</v>
      </c>
      <c r="P280" s="26">
        <f t="shared" si="14"/>
        <v>0</v>
      </c>
      <c r="Q280" s="76">
        <v>0</v>
      </c>
      <c r="R280" s="32"/>
    </row>
    <row r="281" spans="2:18" hidden="1" x14ac:dyDescent="0.25">
      <c r="B281" s="392">
        <f>Fluxo_de_Caixa_Janeiro[[#This Row],[Fluxo de Caixa 2026 CTR]]</f>
        <v>0</v>
      </c>
      <c r="C281" s="372"/>
      <c r="D281" s="374"/>
      <c r="E281" s="374"/>
      <c r="F281" s="374">
        <f>Fluxo_de_Caixa_Janeiro345[[#This Row],[ABRIL]]</f>
        <v>0</v>
      </c>
      <c r="G281" s="374">
        <f>Fluxo_de_Caixa_Janeiro3459[[#This Row],[MAIO]]</f>
        <v>0</v>
      </c>
      <c r="H281" s="374">
        <f>Fluxo_de_Caixa_Janeiro345911[[#This Row],[JUNHO]]</f>
        <v>0</v>
      </c>
      <c r="I281" s="372"/>
      <c r="J281" s="374"/>
      <c r="K281" s="374"/>
      <c r="L281" s="374"/>
      <c r="M281" s="374"/>
      <c r="N281" s="376"/>
      <c r="O281" s="235">
        <f>SUM(Fluxo_de_Caixa_Janeiro3102013[[#This Row],[Janeiro]:[Dezembro]])</f>
        <v>0</v>
      </c>
      <c r="P281" s="26">
        <f t="shared" si="14"/>
        <v>0</v>
      </c>
      <c r="Q281" s="76">
        <v>0</v>
      </c>
      <c r="R281" s="32"/>
    </row>
    <row r="282" spans="2:18" hidden="1" x14ac:dyDescent="0.25">
      <c r="B282" s="392">
        <f>Fluxo_de_Caixa_Janeiro[[#This Row],[Fluxo de Caixa 2026 CTR]]</f>
        <v>0</v>
      </c>
      <c r="C282" s="372"/>
      <c r="D282" s="374"/>
      <c r="E282" s="374"/>
      <c r="F282" s="374">
        <f>Fluxo_de_Caixa_Janeiro345[[#This Row],[ABRIL]]</f>
        <v>0</v>
      </c>
      <c r="G282" s="374">
        <f>Fluxo_de_Caixa_Janeiro3459[[#This Row],[MAIO]]</f>
        <v>0</v>
      </c>
      <c r="H282" s="374">
        <f>Fluxo_de_Caixa_Janeiro345911[[#This Row],[JUNHO]]</f>
        <v>0</v>
      </c>
      <c r="I282" s="372"/>
      <c r="J282" s="374"/>
      <c r="K282" s="374"/>
      <c r="L282" s="374"/>
      <c r="M282" s="374"/>
      <c r="N282" s="376"/>
      <c r="O282" s="235">
        <f>SUM(Fluxo_de_Caixa_Janeiro3102013[[#This Row],[Janeiro]:[Dezembro]])</f>
        <v>0</v>
      </c>
      <c r="P282" s="26">
        <f t="shared" si="14"/>
        <v>0</v>
      </c>
      <c r="Q282" s="76">
        <v>0</v>
      </c>
      <c r="R282" s="32"/>
    </row>
    <row r="283" spans="2:18" hidden="1" x14ac:dyDescent="0.25">
      <c r="B283" s="392">
        <f>Fluxo_de_Caixa_Janeiro[[#This Row],[Fluxo de Caixa 2026 CTR]]</f>
        <v>0</v>
      </c>
      <c r="C283" s="372"/>
      <c r="D283" s="374"/>
      <c r="E283" s="374"/>
      <c r="F283" s="374">
        <f>Fluxo_de_Caixa_Janeiro345[[#This Row],[ABRIL]]</f>
        <v>0</v>
      </c>
      <c r="G283" s="374">
        <f>Fluxo_de_Caixa_Janeiro3459[[#This Row],[MAIO]]</f>
        <v>0</v>
      </c>
      <c r="H283" s="374">
        <f>Fluxo_de_Caixa_Janeiro345911[[#This Row],[JUNHO]]</f>
        <v>0</v>
      </c>
      <c r="I283" s="372"/>
      <c r="J283" s="374"/>
      <c r="K283" s="374"/>
      <c r="L283" s="374"/>
      <c r="M283" s="374"/>
      <c r="N283" s="376"/>
      <c r="O283" s="235">
        <f>SUM(Fluxo_de_Caixa_Janeiro3102013[[#This Row],[Janeiro]:[Dezembro]])</f>
        <v>0</v>
      </c>
      <c r="P283" s="26">
        <f t="shared" si="14"/>
        <v>0</v>
      </c>
      <c r="Q283" s="76">
        <v>0</v>
      </c>
      <c r="R283" s="32"/>
    </row>
    <row r="284" spans="2:18" hidden="1" x14ac:dyDescent="0.25">
      <c r="B284" s="392">
        <f>Fluxo_de_Caixa_Janeiro[[#This Row],[Fluxo de Caixa 2026 CTR]]</f>
        <v>0</v>
      </c>
      <c r="C284" s="372"/>
      <c r="D284" s="374"/>
      <c r="E284" s="374"/>
      <c r="F284" s="374">
        <f>Fluxo_de_Caixa_Janeiro345[[#This Row],[ABRIL]]</f>
        <v>0</v>
      </c>
      <c r="G284" s="374">
        <f>Fluxo_de_Caixa_Janeiro3459[[#This Row],[MAIO]]</f>
        <v>0</v>
      </c>
      <c r="H284" s="374">
        <f>Fluxo_de_Caixa_Janeiro345911[[#This Row],[JUNHO]]</f>
        <v>0</v>
      </c>
      <c r="I284" s="372"/>
      <c r="J284" s="374"/>
      <c r="K284" s="374"/>
      <c r="L284" s="374"/>
      <c r="M284" s="374"/>
      <c r="N284" s="376"/>
      <c r="O284" s="235">
        <f>SUM(Fluxo_de_Caixa_Janeiro3102013[[#This Row],[Janeiro]:[Dezembro]])</f>
        <v>0</v>
      </c>
      <c r="P284" s="26">
        <f t="shared" si="14"/>
        <v>0</v>
      </c>
      <c r="Q284" s="76">
        <v>0</v>
      </c>
      <c r="R284" s="32"/>
    </row>
    <row r="285" spans="2:18" hidden="1" x14ac:dyDescent="0.25">
      <c r="B285" s="392">
        <f>Fluxo_de_Caixa_Janeiro[[#This Row],[Fluxo de Caixa 2026 CTR]]</f>
        <v>0</v>
      </c>
      <c r="C285" s="372"/>
      <c r="D285" s="374"/>
      <c r="E285" s="374"/>
      <c r="F285" s="374">
        <f>Fluxo_de_Caixa_Janeiro345[[#This Row],[ABRIL]]</f>
        <v>0</v>
      </c>
      <c r="G285" s="374">
        <f>Fluxo_de_Caixa_Janeiro3459[[#This Row],[MAIO]]</f>
        <v>0</v>
      </c>
      <c r="H285" s="374">
        <f>Fluxo_de_Caixa_Janeiro345911[[#This Row],[JUNHO]]</f>
        <v>0</v>
      </c>
      <c r="I285" s="372"/>
      <c r="J285" s="374"/>
      <c r="K285" s="374"/>
      <c r="L285" s="374"/>
      <c r="M285" s="374"/>
      <c r="N285" s="376"/>
      <c r="O285" s="235">
        <f>SUM(Fluxo_de_Caixa_Janeiro3102013[[#This Row],[Janeiro]:[Dezembro]])</f>
        <v>0</v>
      </c>
      <c r="P285" s="26">
        <f t="shared" si="14"/>
        <v>0</v>
      </c>
      <c r="Q285" s="76">
        <v>0</v>
      </c>
      <c r="R285" s="32"/>
    </row>
    <row r="286" spans="2:18" hidden="1" x14ac:dyDescent="0.25">
      <c r="B286" s="392">
        <f>Fluxo_de_Caixa_Janeiro[[#This Row],[Fluxo de Caixa 2026 CTR]]</f>
        <v>0</v>
      </c>
      <c r="C286" s="372"/>
      <c r="D286" s="374"/>
      <c r="E286" s="374"/>
      <c r="F286" s="374">
        <f>Fluxo_de_Caixa_Janeiro345[[#This Row],[ABRIL]]</f>
        <v>0</v>
      </c>
      <c r="G286" s="374">
        <f>Fluxo_de_Caixa_Janeiro3459[[#This Row],[MAIO]]</f>
        <v>0</v>
      </c>
      <c r="H286" s="374">
        <f>Fluxo_de_Caixa_Janeiro345911[[#This Row],[JUNHO]]</f>
        <v>0</v>
      </c>
      <c r="I286" s="372"/>
      <c r="J286" s="374"/>
      <c r="K286" s="374"/>
      <c r="L286" s="374"/>
      <c r="M286" s="374"/>
      <c r="N286" s="376"/>
      <c r="O286" s="235">
        <f>SUM(Fluxo_de_Caixa_Janeiro3102013[[#This Row],[Janeiro]:[Dezembro]])</f>
        <v>0</v>
      </c>
      <c r="P286" s="26">
        <f t="shared" si="14"/>
        <v>0</v>
      </c>
      <c r="Q286" s="76">
        <v>0</v>
      </c>
      <c r="R286" s="32"/>
    </row>
    <row r="287" spans="2:18" hidden="1" x14ac:dyDescent="0.25">
      <c r="B287" s="391">
        <f>Fluxo_de_Caixa_Janeiro[[#This Row],[Fluxo de Caixa 2026 CTR]]</f>
        <v>0</v>
      </c>
      <c r="C287" s="372"/>
      <c r="D287" s="374"/>
      <c r="E287" s="374"/>
      <c r="F287" s="374">
        <f>Fluxo_de_Caixa_Janeiro345[[#This Row],[ABRIL]]</f>
        <v>0</v>
      </c>
      <c r="G287" s="374">
        <f>Fluxo_de_Caixa_Janeiro3459[[#This Row],[MAIO]]</f>
        <v>0</v>
      </c>
      <c r="H287" s="374">
        <f>Fluxo_de_Caixa_Janeiro345911[[#This Row],[JUNHO]]</f>
        <v>0</v>
      </c>
      <c r="I287" s="372"/>
      <c r="J287" s="374"/>
      <c r="K287" s="374"/>
      <c r="L287" s="374"/>
      <c r="M287" s="374"/>
      <c r="N287" s="376"/>
      <c r="O287" s="235">
        <f>SUM(Fluxo_de_Caixa_Janeiro3102013[[#This Row],[Janeiro]:[Dezembro]])</f>
        <v>0</v>
      </c>
      <c r="P287" s="26">
        <f t="shared" si="14"/>
        <v>0</v>
      </c>
      <c r="Q287" s="76">
        <v>0</v>
      </c>
      <c r="R287" s="32"/>
    </row>
    <row r="288" spans="2:18" hidden="1" x14ac:dyDescent="0.25">
      <c r="B288" s="391">
        <f>Fluxo_de_Caixa_Janeiro[[#This Row],[Fluxo de Caixa 2026 CTR]]</f>
        <v>0</v>
      </c>
      <c r="C288" s="373"/>
      <c r="D288" s="375"/>
      <c r="E288" s="375"/>
      <c r="F288" s="375">
        <f>Fluxo_de_Caixa_Janeiro345[[#This Row],[ABRIL]]</f>
        <v>0</v>
      </c>
      <c r="G288" s="375">
        <f>Fluxo_de_Caixa_Janeiro3459[[#This Row],[MAIO]]</f>
        <v>0</v>
      </c>
      <c r="H288" s="375">
        <f>Fluxo_de_Caixa_Janeiro345911[[#This Row],[JUNHO]]</f>
        <v>0</v>
      </c>
      <c r="I288" s="373"/>
      <c r="J288" s="375"/>
      <c r="K288" s="375"/>
      <c r="L288" s="375"/>
      <c r="M288" s="375"/>
      <c r="N288" s="377"/>
      <c r="O288" s="235">
        <f>SUM(Fluxo_de_Caixa_Janeiro3102013[[#This Row],[Janeiro]:[Dezembro]])</f>
        <v>0</v>
      </c>
      <c r="P288" s="26">
        <f t="shared" si="14"/>
        <v>0</v>
      </c>
      <c r="Q288" s="76">
        <v>0</v>
      </c>
      <c r="R288" s="32"/>
    </row>
    <row r="289" spans="2:18" hidden="1" x14ac:dyDescent="0.25">
      <c r="B289" s="392">
        <f>Fluxo_de_Caixa_Janeiro[[#This Row],[Fluxo de Caixa 2026 CTR]]</f>
        <v>0</v>
      </c>
      <c r="C289" s="372"/>
      <c r="D289" s="374"/>
      <c r="E289" s="374"/>
      <c r="F289" s="374">
        <f>Fluxo_de_Caixa_Janeiro345[[#This Row],[ABRIL]]</f>
        <v>0</v>
      </c>
      <c r="G289" s="374">
        <f>Fluxo_de_Caixa_Janeiro3459[[#This Row],[MAIO]]</f>
        <v>0</v>
      </c>
      <c r="H289" s="374">
        <f>Fluxo_de_Caixa_Janeiro345911[[#This Row],[JUNHO]]</f>
        <v>0</v>
      </c>
      <c r="I289" s="372"/>
      <c r="J289" s="374"/>
      <c r="K289" s="374"/>
      <c r="L289" s="374"/>
      <c r="M289" s="374"/>
      <c r="N289" s="376"/>
      <c r="O289" s="235">
        <f>SUM(Fluxo_de_Caixa_Janeiro3102013[[#This Row],[Janeiro]:[Dezembro]])</f>
        <v>0</v>
      </c>
      <c r="P289" s="26">
        <f t="shared" si="14"/>
        <v>0</v>
      </c>
      <c r="Q289" s="76">
        <v>0</v>
      </c>
      <c r="R289" s="32"/>
    </row>
    <row r="290" spans="2:18" hidden="1" x14ac:dyDescent="0.25">
      <c r="B290" s="392">
        <f>Fluxo_de_Caixa_Janeiro[[#This Row],[Fluxo de Caixa 2026 CTR]]</f>
        <v>0</v>
      </c>
      <c r="C290" s="373"/>
      <c r="D290" s="375"/>
      <c r="E290" s="375"/>
      <c r="F290" s="375">
        <f>Fluxo_de_Caixa_Janeiro345[[#This Row],[ABRIL]]</f>
        <v>0</v>
      </c>
      <c r="G290" s="375">
        <f>Fluxo_de_Caixa_Janeiro3459[[#This Row],[MAIO]]</f>
        <v>0</v>
      </c>
      <c r="H290" s="375">
        <f>Fluxo_de_Caixa_Janeiro345911[[#This Row],[JUNHO]]</f>
        <v>0</v>
      </c>
      <c r="I290" s="373"/>
      <c r="J290" s="375"/>
      <c r="K290" s="375"/>
      <c r="L290" s="375"/>
      <c r="M290" s="375"/>
      <c r="N290" s="377"/>
      <c r="O290" s="235">
        <f>SUM(Fluxo_de_Caixa_Janeiro3102013[[#This Row],[Janeiro]:[Dezembro]])</f>
        <v>0</v>
      </c>
      <c r="P290" s="26">
        <f t="shared" si="14"/>
        <v>0</v>
      </c>
      <c r="Q290" s="76">
        <v>0</v>
      </c>
      <c r="R290" s="32"/>
    </row>
    <row r="291" spans="2:18" hidden="1" x14ac:dyDescent="0.25">
      <c r="B291" s="270">
        <f>Fluxo_de_Caixa_Janeiro[[#This Row],[Fluxo de Caixa 2026 CTR]]</f>
        <v>0</v>
      </c>
      <c r="C291" s="45"/>
      <c r="D291" s="80"/>
      <c r="E291" s="80"/>
      <c r="F291" s="80">
        <f>Fluxo_de_Caixa_Janeiro345[[#This Row],[ABRIL]]</f>
        <v>0</v>
      </c>
      <c r="G291" s="80">
        <f>Fluxo_de_Caixa_Janeiro3459[[#This Row],[MAIO]]</f>
        <v>0</v>
      </c>
      <c r="H291" s="80">
        <f>Fluxo_de_Caixa_Janeiro345911[[#This Row],[JUNHO]]</f>
        <v>0</v>
      </c>
      <c r="I291" s="45"/>
      <c r="J291" s="80"/>
      <c r="K291" s="80"/>
      <c r="L291" s="80"/>
      <c r="M291" s="80"/>
      <c r="N291" s="134"/>
      <c r="O291" s="235">
        <f>SUM(Fluxo_de_Caixa_Janeiro3102013[[#This Row],[Janeiro]:[Dezembro]])</f>
        <v>0</v>
      </c>
      <c r="P291" s="26">
        <f t="shared" si="14"/>
        <v>0</v>
      </c>
      <c r="Q291" s="76">
        <v>0</v>
      </c>
      <c r="R291" s="32" t="str">
        <f>IF(Fluxo_de_Caixa_Janeiro3102013[[#This Row],[% ACUMULADO  2º SEMEST 2026]]&lt;=Fluxo_de_Caixa_Janeiro3102013[[#This Row],[Coluna1]],"VERDADEIRO","FALSO")</f>
        <v>VERDADEIRO</v>
      </c>
    </row>
    <row r="292" spans="2:18" hidden="1" x14ac:dyDescent="0.25">
      <c r="B292" s="270">
        <f>Fluxo_de_Caixa_Janeiro[[#This Row],[Fluxo de Caixa 2026 CTR]]</f>
        <v>0</v>
      </c>
      <c r="C292" s="45"/>
      <c r="D292" s="80"/>
      <c r="E292" s="80"/>
      <c r="F292" s="80">
        <f>Fluxo_de_Caixa_Janeiro345[[#This Row],[ABRIL]]</f>
        <v>0</v>
      </c>
      <c r="G292" s="80">
        <f>Fluxo_de_Caixa_Janeiro3459[[#This Row],[MAIO]]</f>
        <v>0</v>
      </c>
      <c r="H292" s="80">
        <f>Fluxo_de_Caixa_Janeiro345911[[#This Row],[JUNHO]]</f>
        <v>0</v>
      </c>
      <c r="I292" s="45"/>
      <c r="J292" s="80"/>
      <c r="K292" s="80"/>
      <c r="L292" s="80"/>
      <c r="M292" s="80"/>
      <c r="N292" s="134"/>
      <c r="O292" s="235">
        <f>SUM(Fluxo_de_Caixa_Janeiro3102013[[#This Row],[Janeiro]:[Dezembro]])</f>
        <v>0</v>
      </c>
      <c r="P292" s="26">
        <f t="shared" si="14"/>
        <v>0</v>
      </c>
      <c r="Q292" s="76">
        <v>0</v>
      </c>
      <c r="R292" s="32" t="str">
        <f>IF(Fluxo_de_Caixa_Janeiro3102013[[#This Row],[% ACUMULADO  2º SEMEST 2026]]&lt;=Fluxo_de_Caixa_Janeiro3102013[[#This Row],[Coluna1]],"VERDADEIRO","FALSO")</f>
        <v>VERDADEIRO</v>
      </c>
    </row>
    <row r="293" spans="2:18" ht="15.75" hidden="1" thickBot="1" x14ac:dyDescent="0.3">
      <c r="B293" s="280">
        <f>Fluxo_de_Caixa_Janeiro[[#This Row],[Fluxo de Caixa 2026 CTR]]</f>
        <v>0</v>
      </c>
      <c r="C293" s="163"/>
      <c r="D293" s="106"/>
      <c r="E293" s="106"/>
      <c r="F293" s="106">
        <f>Fluxo_de_Caixa_Janeiro345[[#This Row],[ABRIL]]</f>
        <v>0</v>
      </c>
      <c r="G293" s="106">
        <f>Fluxo_de_Caixa_Janeiro3459[[#This Row],[MAIO]]</f>
        <v>0</v>
      </c>
      <c r="H293" s="106">
        <f>Fluxo_de_Caixa_Janeiro345911[[#This Row],[JUNHO]]</f>
        <v>0</v>
      </c>
      <c r="I293" s="163"/>
      <c r="J293" s="106"/>
      <c r="K293" s="106"/>
      <c r="L293" s="106"/>
      <c r="M293" s="106"/>
      <c r="N293" s="135"/>
      <c r="O293" s="236">
        <f>SUM(Fluxo_de_Caixa_Janeiro3102013[[#This Row],[Janeiro]:[Dezembro]])</f>
        <v>0</v>
      </c>
      <c r="P293" s="148">
        <f t="shared" si="14"/>
        <v>0</v>
      </c>
      <c r="Q293" s="107">
        <v>0</v>
      </c>
      <c r="R293" s="32" t="str">
        <f>IF(Fluxo_de_Caixa_Janeiro3102013[[#This Row],[% ACUMULADO  2º SEMEST 2026]]&lt;=Fluxo_de_Caixa_Janeiro3102013[[#This Row],[Coluna1]],"VERDADEIRO","FALSO")</f>
        <v>VERDADEIRO</v>
      </c>
    </row>
    <row r="294" spans="2:18" ht="19.5" thickBot="1" x14ac:dyDescent="0.35">
      <c r="B294" s="168" t="str">
        <f>Fluxo_de_Caixa_Janeiro[[#This Row],[Fluxo de Caixa 2026 CTR]]</f>
        <v>5.2 DESPESA COM INVESTIMENTO</v>
      </c>
      <c r="C294" s="158"/>
      <c r="D294" s="97"/>
      <c r="E294" s="97"/>
      <c r="F294" s="97">
        <f>Fluxo_de_Caixa_Janeiro345[[#This Row],[ABRIL]]</f>
        <v>-224157.98</v>
      </c>
      <c r="G294" s="97">
        <f>Fluxo_de_Caixa_Janeiro3459[[#This Row],[MAIO]]</f>
        <v>-6695.82</v>
      </c>
      <c r="H294" s="97">
        <f>Fluxo_de_Caixa_Janeiro345911[[#This Row],[JUNHO]]</f>
        <v>0</v>
      </c>
      <c r="I294" s="158"/>
      <c r="J294" s="97"/>
      <c r="K294" s="97"/>
      <c r="L294" s="97"/>
      <c r="M294" s="97"/>
      <c r="N294" s="129"/>
      <c r="O294" s="226">
        <f>SUM(Fluxo_de_Caixa_Janeiro3102013[[#This Row],[Janeiro]:[Dezembro]])</f>
        <v>-230853.80000000002</v>
      </c>
      <c r="P294" s="144">
        <f t="shared" si="14"/>
        <v>0.13114007641685105</v>
      </c>
      <c r="Q294" s="98">
        <v>7.8155394017012849E-3</v>
      </c>
      <c r="R294" s="32" t="str">
        <f>IF(Fluxo_de_Caixa_Janeiro3102013[[#This Row],[% ACUMULADO  2º SEMEST 2026]]&lt;=Fluxo_de_Caixa_Janeiro3102013[[#This Row],[Coluna1]],"VERDADEIRO","FALSO")</f>
        <v>FALSO</v>
      </c>
    </row>
    <row r="295" spans="2:18" x14ac:dyDescent="0.25">
      <c r="B295" s="270" t="str">
        <f>Fluxo_de_Caixa_Janeiro[[#This Row],[Fluxo de Caixa 2026 CTR]]</f>
        <v>5.2.01. IMÓVEIS</v>
      </c>
      <c r="C295" s="45"/>
      <c r="D295" s="80"/>
      <c r="E295" s="80"/>
      <c r="F295" s="80">
        <f>Fluxo_de_Caixa_Janeiro345[[#This Row],[ABRIL]]</f>
        <v>0</v>
      </c>
      <c r="G295" s="80">
        <f>Fluxo_de_Caixa_Janeiro3459[[#This Row],[MAIO]]</f>
        <v>0</v>
      </c>
      <c r="H295" s="80">
        <f>Fluxo_de_Caixa_Janeiro345911[[#This Row],[JUNHO]]</f>
        <v>0</v>
      </c>
      <c r="I295" s="45"/>
      <c r="J295" s="80"/>
      <c r="K295" s="80"/>
      <c r="L295" s="80"/>
      <c r="M295" s="80"/>
      <c r="N295" s="134"/>
      <c r="O295" s="235">
        <f>SUM(Fluxo_de_Caixa_Janeiro3102013[[#This Row],[Janeiro]:[Dezembro]])</f>
        <v>0</v>
      </c>
      <c r="P295" s="26">
        <f t="shared" si="14"/>
        <v>0</v>
      </c>
      <c r="Q295" s="76">
        <v>0</v>
      </c>
      <c r="R295" s="32" t="str">
        <f>IF(Fluxo_de_Caixa_Janeiro3102013[[#This Row],[% ACUMULADO  2º SEMEST 2026]]&lt;=Fluxo_de_Caixa_Janeiro3102013[[#This Row],[Coluna1]],"VERDADEIRO","FALSO")</f>
        <v>VERDADEIRO</v>
      </c>
    </row>
    <row r="296" spans="2:18" x14ac:dyDescent="0.25">
      <c r="B296" s="391" t="str">
        <f>Fluxo_de_Caixa_Janeiro[[#This Row],[Fluxo de Caixa 2026 CTR]]</f>
        <v>5.2.02. CONSTRUCAO E AMPLIAÇÕES EXTRUTURA</v>
      </c>
      <c r="C296" s="372"/>
      <c r="D296" s="374"/>
      <c r="E296" s="374"/>
      <c r="F296" s="374">
        <f>Fluxo_de_Caixa_Janeiro345[[#This Row],[ABRIL]]</f>
        <v>0</v>
      </c>
      <c r="G296" s="374">
        <f>Fluxo_de_Caixa_Janeiro3459[[#This Row],[MAIO]]</f>
        <v>0</v>
      </c>
      <c r="H296" s="374">
        <f>Fluxo_de_Caixa_Janeiro345911[[#This Row],[JUNHO]]</f>
        <v>0</v>
      </c>
      <c r="I296" s="372"/>
      <c r="J296" s="374"/>
      <c r="K296" s="374"/>
      <c r="L296" s="374"/>
      <c r="M296" s="374"/>
      <c r="N296" s="376"/>
      <c r="O296" s="235">
        <f>SUM(Fluxo_de_Caixa_Janeiro3102013[[#This Row],[Janeiro]:[Dezembro]])</f>
        <v>0</v>
      </c>
      <c r="P296" s="26">
        <f t="shared" si="14"/>
        <v>0</v>
      </c>
      <c r="Q296" s="76">
        <v>-1.064812631772087E-3</v>
      </c>
      <c r="R296" s="32"/>
    </row>
    <row r="297" spans="2:18" x14ac:dyDescent="0.25">
      <c r="B297" s="391" t="str">
        <f>Fluxo_de_Caixa_Janeiro[[#This Row],[Fluxo de Caixa 2026 CTR]]</f>
        <v>5.2.03. LEASING</v>
      </c>
      <c r="C297" s="372"/>
      <c r="D297" s="374"/>
      <c r="E297" s="374"/>
      <c r="F297" s="374">
        <f>Fluxo_de_Caixa_Janeiro345[[#This Row],[ABRIL]]</f>
        <v>0</v>
      </c>
      <c r="G297" s="374">
        <f>Fluxo_de_Caixa_Janeiro3459[[#This Row],[MAIO]]</f>
        <v>0</v>
      </c>
      <c r="H297" s="374">
        <f>Fluxo_de_Caixa_Janeiro345911[[#This Row],[JUNHO]]</f>
        <v>0</v>
      </c>
      <c r="I297" s="372"/>
      <c r="J297" s="374"/>
      <c r="K297" s="374"/>
      <c r="L297" s="374"/>
      <c r="M297" s="374"/>
      <c r="N297" s="376"/>
      <c r="O297" s="235">
        <f>SUM(Fluxo_de_Caixa_Janeiro3102013[[#This Row],[Janeiro]:[Dezembro]])</f>
        <v>0</v>
      </c>
      <c r="P297" s="26">
        <f t="shared" si="14"/>
        <v>0</v>
      </c>
      <c r="Q297" s="76">
        <v>0</v>
      </c>
      <c r="R297" s="32"/>
    </row>
    <row r="298" spans="2:18" x14ac:dyDescent="0.25">
      <c r="B298" s="391" t="str">
        <f>Fluxo_de_Caixa_Janeiro[[#This Row],[Fluxo de Caixa 2026 CTR]]</f>
        <v>5.2.04. COMPRA DE TERRENOS</v>
      </c>
      <c r="C298" s="372"/>
      <c r="D298" s="374"/>
      <c r="E298" s="374"/>
      <c r="F298" s="374">
        <f>Fluxo_de_Caixa_Janeiro345[[#This Row],[ABRIL]]</f>
        <v>2536.86</v>
      </c>
      <c r="G298" s="374">
        <f>Fluxo_de_Caixa_Janeiro3459[[#This Row],[MAIO]]</f>
        <v>0</v>
      </c>
      <c r="H298" s="374">
        <f>Fluxo_de_Caixa_Janeiro345911[[#This Row],[JUNHO]]</f>
        <v>0</v>
      </c>
      <c r="I298" s="372"/>
      <c r="J298" s="374"/>
      <c r="K298" s="374"/>
      <c r="L298" s="374"/>
      <c r="M298" s="374"/>
      <c r="N298" s="376"/>
      <c r="O298" s="235">
        <f>SUM(Fluxo_de_Caixa_Janeiro3102013[[#This Row],[Janeiro]:[Dezembro]])</f>
        <v>2536.86</v>
      </c>
      <c r="P298" s="26">
        <f t="shared" si="14"/>
        <v>-1.4411026123843436E-3</v>
      </c>
      <c r="Q298" s="76">
        <v>-2.8589453430612061E-3</v>
      </c>
      <c r="R298" s="32"/>
    </row>
    <row r="299" spans="2:18" x14ac:dyDescent="0.25">
      <c r="B299" s="391" t="str">
        <f>Fluxo_de_Caixa_Janeiro[[#This Row],[Fluxo de Caixa 2026 CTR]]</f>
        <v>5.2.06. AQUISICAO TITULO DE CAPITALIZACAO</v>
      </c>
      <c r="C299" s="372"/>
      <c r="D299" s="374"/>
      <c r="E299" s="374"/>
      <c r="F299" s="374">
        <f>Fluxo_de_Caixa_Janeiro345[[#This Row],[ABRIL]]</f>
        <v>669.64</v>
      </c>
      <c r="G299" s="374">
        <f>Fluxo_de_Caixa_Janeiro3459[[#This Row],[MAIO]]</f>
        <v>669.64</v>
      </c>
      <c r="H299" s="374">
        <f>Fluxo_de_Caixa_Janeiro345911[[#This Row],[JUNHO]]</f>
        <v>0</v>
      </c>
      <c r="I299" s="372"/>
      <c r="J299" s="374"/>
      <c r="K299" s="374"/>
      <c r="L299" s="374"/>
      <c r="M299" s="374"/>
      <c r="N299" s="376"/>
      <c r="O299" s="235">
        <f>SUM(Fluxo_de_Caixa_Janeiro3102013[[#This Row],[Janeiro]:[Dezembro]])</f>
        <v>1339.28</v>
      </c>
      <c r="P299" s="26">
        <f t="shared" si="14"/>
        <v>-7.6079874597498624E-4</v>
      </c>
      <c r="Q299" s="76">
        <v>-7.4344328399239263E-4</v>
      </c>
      <c r="R299" s="32"/>
    </row>
    <row r="300" spans="2:18" x14ac:dyDescent="0.25">
      <c r="B300" s="391" t="str">
        <f>Fluxo_de_Caixa_Janeiro[[#This Row],[Fluxo de Caixa 2026 CTR]]</f>
        <v>5.2.07. CONSORCIOS</v>
      </c>
      <c r="C300" s="372"/>
      <c r="D300" s="374"/>
      <c r="E300" s="374"/>
      <c r="F300" s="374">
        <f>Fluxo_de_Caixa_Janeiro345[[#This Row],[ABRIL]]</f>
        <v>951.48</v>
      </c>
      <c r="G300" s="374">
        <f>Fluxo_de_Caixa_Janeiro3459[[#This Row],[MAIO]]</f>
        <v>986.18</v>
      </c>
      <c r="H300" s="374">
        <f>Fluxo_de_Caixa_Janeiro345911[[#This Row],[JUNHO]]</f>
        <v>0</v>
      </c>
      <c r="I300" s="372"/>
      <c r="J300" s="374"/>
      <c r="K300" s="374"/>
      <c r="L300" s="374"/>
      <c r="M300" s="374"/>
      <c r="N300" s="376"/>
      <c r="O300" s="235">
        <f>SUM(Fluxo_de_Caixa_Janeiro3102013[[#This Row],[Janeiro]:[Dezembro]])</f>
        <v>1937.6599999999999</v>
      </c>
      <c r="P300" s="26">
        <f t="shared" si="14"/>
        <v>-1.1007177723298277E-3</v>
      </c>
      <c r="Q300" s="76">
        <v>-3.0452323347329602E-3</v>
      </c>
      <c r="R300" s="32"/>
    </row>
    <row r="301" spans="2:18" x14ac:dyDescent="0.25">
      <c r="B301" s="391" t="str">
        <f>Fluxo_de_Caixa_Janeiro[[#This Row],[Fluxo de Caixa 2026 CTR]]</f>
        <v>5.2.08. INVESTIM NOVAS EMPRESAS E FILIAIS</v>
      </c>
      <c r="C301" s="372"/>
      <c r="D301" s="374"/>
      <c r="E301" s="374"/>
      <c r="F301" s="374">
        <f>Fluxo_de_Caixa_Janeiro345[[#This Row],[ABRIL]]</f>
        <v>0</v>
      </c>
      <c r="G301" s="374">
        <f>Fluxo_de_Caixa_Janeiro3459[[#This Row],[MAIO]]</f>
        <v>5040</v>
      </c>
      <c r="H301" s="374">
        <f>Fluxo_de_Caixa_Janeiro345911[[#This Row],[JUNHO]]</f>
        <v>0</v>
      </c>
      <c r="I301" s="372"/>
      <c r="J301" s="374"/>
      <c r="K301" s="374"/>
      <c r="L301" s="374"/>
      <c r="M301" s="374"/>
      <c r="N301" s="376"/>
      <c r="O301" s="235">
        <f>SUM(Fluxo_de_Caixa_Janeiro3102013[[#This Row],[Janeiro]:[Dezembro]])</f>
        <v>5040</v>
      </c>
      <c r="P301" s="26">
        <f t="shared" si="14"/>
        <v>-2.8630500565333095E-3</v>
      </c>
      <c r="Q301" s="76">
        <v>0</v>
      </c>
      <c r="R301" s="32"/>
    </row>
    <row r="302" spans="2:18" x14ac:dyDescent="0.25">
      <c r="B302" s="391" t="str">
        <f>Fluxo_de_Caixa_Janeiro[[#This Row],[Fluxo de Caixa 2026 CTR]]</f>
        <v>5.2.14. FRETE COMPRA ATIVO IMOBILIZADO</v>
      </c>
      <c r="C302" s="373"/>
      <c r="D302" s="375"/>
      <c r="E302" s="375"/>
      <c r="F302" s="375">
        <f>Fluxo_de_Caixa_Janeiro345[[#This Row],[ABRIL]]</f>
        <v>0</v>
      </c>
      <c r="G302" s="375">
        <f>Fluxo_de_Caixa_Janeiro3459[[#This Row],[MAIO]]</f>
        <v>0</v>
      </c>
      <c r="H302" s="375">
        <f>Fluxo_de_Caixa_Janeiro345911[[#This Row],[JUNHO]]</f>
        <v>0</v>
      </c>
      <c r="I302" s="373"/>
      <c r="J302" s="375"/>
      <c r="K302" s="375"/>
      <c r="L302" s="375"/>
      <c r="M302" s="375"/>
      <c r="N302" s="377"/>
      <c r="O302" s="235">
        <f>SUM(Fluxo_de_Caixa_Janeiro3102013[[#This Row],[Janeiro]:[Dezembro]])</f>
        <v>0</v>
      </c>
      <c r="P302" s="26">
        <f t="shared" si="14"/>
        <v>0</v>
      </c>
      <c r="Q302" s="76">
        <v>0</v>
      </c>
      <c r="R302" s="32"/>
    </row>
    <row r="303" spans="2:18" x14ac:dyDescent="0.25">
      <c r="B303" s="391" t="str">
        <f>Fluxo_de_Caixa_Janeiro[[#This Row],[Fluxo de Caixa 2026 CTR]]</f>
        <v>5.2.15. AQUISICAO DE NOVO SOFTWARE INFORMATICA</v>
      </c>
      <c r="C303" s="372"/>
      <c r="D303" s="374"/>
      <c r="E303" s="374"/>
      <c r="F303" s="374">
        <f>Fluxo_de_Caixa_Janeiro345[[#This Row],[ABRIL]]</f>
        <v>0</v>
      </c>
      <c r="G303" s="374">
        <f>Fluxo_de_Caixa_Janeiro3459[[#This Row],[MAIO]]</f>
        <v>0</v>
      </c>
      <c r="H303" s="374">
        <f>Fluxo_de_Caixa_Janeiro345911[[#This Row],[JUNHO]]</f>
        <v>0</v>
      </c>
      <c r="I303" s="372"/>
      <c r="J303" s="374"/>
      <c r="K303" s="374"/>
      <c r="L303" s="374"/>
      <c r="M303" s="374"/>
      <c r="N303" s="376"/>
      <c r="O303" s="235">
        <f>SUM(Fluxo_de_Caixa_Janeiro3102013[[#This Row],[Janeiro]:[Dezembro]])</f>
        <v>0</v>
      </c>
      <c r="P303" s="26">
        <f t="shared" si="14"/>
        <v>0</v>
      </c>
      <c r="Q303" s="76">
        <v>0</v>
      </c>
      <c r="R303" s="32"/>
    </row>
    <row r="304" spans="2:18" x14ac:dyDescent="0.25">
      <c r="B304" s="391" t="str">
        <f>Fluxo_de_Caixa_Janeiro[[#This Row],[Fluxo de Caixa 2026 CTR]]</f>
        <v>5.2.16. PARTICIPACAO SOCIEDADE COOPERATI</v>
      </c>
      <c r="C304" s="372"/>
      <c r="D304" s="374"/>
      <c r="E304" s="374"/>
      <c r="F304" s="374">
        <f>Fluxo_de_Caixa_Janeiro345[[#This Row],[ABRIL]]</f>
        <v>0</v>
      </c>
      <c r="G304" s="374">
        <f>Fluxo_de_Caixa_Janeiro3459[[#This Row],[MAIO]]</f>
        <v>0</v>
      </c>
      <c r="H304" s="374">
        <f>Fluxo_de_Caixa_Janeiro345911[[#This Row],[JUNHO]]</f>
        <v>0</v>
      </c>
      <c r="I304" s="372"/>
      <c r="J304" s="374"/>
      <c r="K304" s="374"/>
      <c r="L304" s="374"/>
      <c r="M304" s="374"/>
      <c r="N304" s="376"/>
      <c r="O304" s="235">
        <f>SUM(Fluxo_de_Caixa_Janeiro3102013[[#This Row],[Janeiro]:[Dezembro]])</f>
        <v>0</v>
      </c>
      <c r="P304" s="26">
        <f t="shared" si="14"/>
        <v>0</v>
      </c>
      <c r="Q304" s="76">
        <v>-1.0310580814263686E-4</v>
      </c>
      <c r="R304" s="32"/>
    </row>
    <row r="305" spans="2:18" ht="15.75" thickBot="1" x14ac:dyDescent="0.3">
      <c r="B305" s="391" t="str">
        <f>Fluxo_de_Caixa_Janeiro[[#This Row],[Fluxo de Caixa 2026 CTR]]</f>
        <v>5.2.17. DEVOLUÇÃO DE CAPITAL INVESTIDO</v>
      </c>
      <c r="C305" s="372"/>
      <c r="D305" s="374"/>
      <c r="E305" s="374"/>
      <c r="F305" s="374">
        <f>Fluxo_de_Caixa_Janeiro345[[#This Row],[ABRIL]]</f>
        <v>220000</v>
      </c>
      <c r="G305" s="374">
        <f>Fluxo_de_Caixa_Janeiro3459[[#This Row],[MAIO]]</f>
        <v>0</v>
      </c>
      <c r="H305" s="374">
        <f>Fluxo_de_Caixa_Janeiro345911[[#This Row],[JUNHO]]</f>
        <v>0</v>
      </c>
      <c r="I305" s="372"/>
      <c r="J305" s="374"/>
      <c r="K305" s="374"/>
      <c r="L305" s="374"/>
      <c r="M305" s="374"/>
      <c r="N305" s="376"/>
      <c r="O305" s="235">
        <f>SUM(Fluxo_de_Caixa_Janeiro3102013[[#This Row],[Janeiro]:[Dezembro]])</f>
        <v>220000</v>
      </c>
      <c r="P305" s="26">
        <f t="shared" si="14"/>
        <v>-0.12497440722962859</v>
      </c>
      <c r="Q305" s="76">
        <v>0</v>
      </c>
      <c r="R305" s="32"/>
    </row>
    <row r="306" spans="2:18" hidden="1" x14ac:dyDescent="0.25">
      <c r="B306" s="391">
        <f>Fluxo_de_Caixa_Janeiro[[#This Row],[Fluxo de Caixa 2026 CTR]]</f>
        <v>0</v>
      </c>
      <c r="C306" s="373"/>
      <c r="D306" s="375"/>
      <c r="E306" s="375"/>
      <c r="F306" s="375">
        <f>Fluxo_de_Caixa_Janeiro345[[#This Row],[ABRIL]]</f>
        <v>0</v>
      </c>
      <c r="G306" s="375">
        <f>Fluxo_de_Caixa_Janeiro3459[[#This Row],[MAIO]]</f>
        <v>0</v>
      </c>
      <c r="H306" s="375">
        <f>Fluxo_de_Caixa_Janeiro345911[[#This Row],[JUNHO]]</f>
        <v>0</v>
      </c>
      <c r="I306" s="373"/>
      <c r="J306" s="375"/>
      <c r="K306" s="375"/>
      <c r="L306" s="375"/>
      <c r="M306" s="375"/>
      <c r="N306" s="377"/>
      <c r="O306" s="235">
        <f>SUM(Fluxo_de_Caixa_Janeiro3102013[[#This Row],[Janeiro]:[Dezembro]])</f>
        <v>0</v>
      </c>
      <c r="P306" s="26">
        <f t="shared" si="14"/>
        <v>0</v>
      </c>
      <c r="Q306" s="76">
        <v>0</v>
      </c>
      <c r="R306" s="32"/>
    </row>
    <row r="307" spans="2:18" hidden="1" x14ac:dyDescent="0.25">
      <c r="B307" s="392">
        <f>Fluxo_de_Caixa_Janeiro[[#This Row],[Fluxo de Caixa 2026 CTR]]</f>
        <v>0</v>
      </c>
      <c r="C307" s="372"/>
      <c r="D307" s="374"/>
      <c r="E307" s="374"/>
      <c r="F307" s="374">
        <f>Fluxo_de_Caixa_Janeiro345[[#This Row],[ABRIL]]</f>
        <v>0</v>
      </c>
      <c r="G307" s="374">
        <f>Fluxo_de_Caixa_Janeiro3459[[#This Row],[MAIO]]</f>
        <v>0</v>
      </c>
      <c r="H307" s="374">
        <f>Fluxo_de_Caixa_Janeiro345911[[#This Row],[JUNHO]]</f>
        <v>0</v>
      </c>
      <c r="I307" s="372"/>
      <c r="J307" s="374"/>
      <c r="K307" s="374"/>
      <c r="L307" s="374"/>
      <c r="M307" s="374"/>
      <c r="N307" s="376"/>
      <c r="O307" s="235">
        <f>SUM(Fluxo_de_Caixa_Janeiro3102013[[#This Row],[Janeiro]:[Dezembro]])</f>
        <v>0</v>
      </c>
      <c r="P307" s="26">
        <f t="shared" si="14"/>
        <v>0</v>
      </c>
      <c r="Q307" s="76">
        <v>0</v>
      </c>
      <c r="R307" s="32"/>
    </row>
    <row r="308" spans="2:18" hidden="1" x14ac:dyDescent="0.25">
      <c r="B308" s="392">
        <f>Fluxo_de_Caixa_Janeiro[[#This Row],[Fluxo de Caixa 2026 CTR]]</f>
        <v>0</v>
      </c>
      <c r="C308" s="372"/>
      <c r="D308" s="374"/>
      <c r="E308" s="374"/>
      <c r="F308" s="374">
        <f>Fluxo_de_Caixa_Janeiro345[[#This Row],[ABRIL]]</f>
        <v>0</v>
      </c>
      <c r="G308" s="374">
        <f>Fluxo_de_Caixa_Janeiro3459[[#This Row],[MAIO]]</f>
        <v>0</v>
      </c>
      <c r="H308" s="374">
        <f>Fluxo_de_Caixa_Janeiro345911[[#This Row],[JUNHO]]</f>
        <v>0</v>
      </c>
      <c r="I308" s="372"/>
      <c r="J308" s="374"/>
      <c r="K308" s="374"/>
      <c r="L308" s="374"/>
      <c r="M308" s="374"/>
      <c r="N308" s="376"/>
      <c r="O308" s="235">
        <f>SUM(Fluxo_de_Caixa_Janeiro3102013[[#This Row],[Janeiro]:[Dezembro]])</f>
        <v>0</v>
      </c>
      <c r="P308" s="26">
        <f t="shared" si="14"/>
        <v>0</v>
      </c>
      <c r="Q308" s="76">
        <v>0</v>
      </c>
      <c r="R308" s="32"/>
    </row>
    <row r="309" spans="2:18" hidden="1" x14ac:dyDescent="0.25">
      <c r="B309" s="392">
        <f>Fluxo_de_Caixa_Janeiro[[#This Row],[Fluxo de Caixa 2026 CTR]]</f>
        <v>0</v>
      </c>
      <c r="C309" s="373"/>
      <c r="D309" s="375"/>
      <c r="E309" s="375"/>
      <c r="F309" s="375">
        <f>Fluxo_de_Caixa_Janeiro345[[#This Row],[ABRIL]]</f>
        <v>0</v>
      </c>
      <c r="G309" s="375">
        <f>Fluxo_de_Caixa_Janeiro3459[[#This Row],[MAIO]]</f>
        <v>0</v>
      </c>
      <c r="H309" s="375">
        <f>Fluxo_de_Caixa_Janeiro345911[[#This Row],[JUNHO]]</f>
        <v>0</v>
      </c>
      <c r="I309" s="373"/>
      <c r="J309" s="375"/>
      <c r="K309" s="375"/>
      <c r="L309" s="375"/>
      <c r="M309" s="375"/>
      <c r="N309" s="377"/>
      <c r="O309" s="235">
        <f>SUM(Fluxo_de_Caixa_Janeiro3102013[[#This Row],[Janeiro]:[Dezembro]])</f>
        <v>0</v>
      </c>
      <c r="P309" s="26">
        <f t="shared" si="14"/>
        <v>0</v>
      </c>
      <c r="Q309" s="76">
        <v>0</v>
      </c>
      <c r="R309" s="32"/>
    </row>
    <row r="310" spans="2:18" hidden="1" x14ac:dyDescent="0.25">
      <c r="B310" s="270">
        <f>Fluxo_de_Caixa_Janeiro[[#This Row],[Fluxo de Caixa 2026 CTR]]</f>
        <v>0</v>
      </c>
      <c r="C310" s="45"/>
      <c r="D310" s="80"/>
      <c r="E310" s="80"/>
      <c r="F310" s="80">
        <f>Fluxo_de_Caixa_Janeiro345[[#This Row],[ABRIL]]</f>
        <v>0</v>
      </c>
      <c r="G310" s="80">
        <f>Fluxo_de_Caixa_Janeiro3459[[#This Row],[MAIO]]</f>
        <v>0</v>
      </c>
      <c r="H310" s="80">
        <f>Fluxo_de_Caixa_Janeiro345911[[#This Row],[JUNHO]]</f>
        <v>0</v>
      </c>
      <c r="I310" s="45"/>
      <c r="J310" s="80"/>
      <c r="K310" s="80"/>
      <c r="L310" s="80"/>
      <c r="M310" s="80"/>
      <c r="N310" s="134"/>
      <c r="O310" s="235">
        <f>SUM(Fluxo_de_Caixa_Janeiro3102013[[#This Row],[Janeiro]:[Dezembro]])</f>
        <v>0</v>
      </c>
      <c r="P310" s="26">
        <f t="shared" si="14"/>
        <v>0</v>
      </c>
      <c r="Q310" s="76">
        <v>0</v>
      </c>
      <c r="R310" s="32" t="str">
        <f>IF(Fluxo_de_Caixa_Janeiro3102013[[#This Row],[% ACUMULADO  2º SEMEST 2026]]&lt;=Fluxo_de_Caixa_Janeiro3102013[[#This Row],[Coluna1]],"VERDADEIRO","FALSO")</f>
        <v>VERDADEIRO</v>
      </c>
    </row>
    <row r="311" spans="2:18" hidden="1" x14ac:dyDescent="0.25">
      <c r="B311" s="270">
        <f>Fluxo_de_Caixa_Janeiro[[#This Row],[Fluxo de Caixa 2026 CTR]]</f>
        <v>0</v>
      </c>
      <c r="C311" s="45"/>
      <c r="D311" s="80"/>
      <c r="E311" s="80"/>
      <c r="F311" s="80">
        <f>Fluxo_de_Caixa_Janeiro345[[#This Row],[ABRIL]]</f>
        <v>0</v>
      </c>
      <c r="G311" s="80">
        <f>Fluxo_de_Caixa_Janeiro3459[[#This Row],[MAIO]]</f>
        <v>0</v>
      </c>
      <c r="H311" s="80">
        <f>Fluxo_de_Caixa_Janeiro345911[[#This Row],[JUNHO]]</f>
        <v>0</v>
      </c>
      <c r="I311" s="45"/>
      <c r="J311" s="80"/>
      <c r="K311" s="80"/>
      <c r="L311" s="80"/>
      <c r="M311" s="80"/>
      <c r="N311" s="134"/>
      <c r="O311" s="235">
        <f>SUM(Fluxo_de_Caixa_Janeiro3102013[[#This Row],[Janeiro]:[Dezembro]])</f>
        <v>0</v>
      </c>
      <c r="P311" s="26">
        <f t="shared" si="14"/>
        <v>0</v>
      </c>
      <c r="Q311" s="76">
        <v>0</v>
      </c>
      <c r="R311" s="32" t="str">
        <f>IF(Fluxo_de_Caixa_Janeiro3102013[[#This Row],[% ACUMULADO  2º SEMEST 2026]]&lt;=Fluxo_de_Caixa_Janeiro3102013[[#This Row],[Coluna1]],"VERDADEIRO","FALSO")</f>
        <v>VERDADEIRO</v>
      </c>
    </row>
    <row r="312" spans="2:18" hidden="1" x14ac:dyDescent="0.25">
      <c r="B312" s="270">
        <f>Fluxo_de_Caixa_Janeiro[[#This Row],[Fluxo de Caixa 2026 CTR]]</f>
        <v>0</v>
      </c>
      <c r="C312" s="45"/>
      <c r="D312" s="80"/>
      <c r="E312" s="80"/>
      <c r="F312" s="80">
        <f>Fluxo_de_Caixa_Janeiro345[[#This Row],[ABRIL]]</f>
        <v>0</v>
      </c>
      <c r="G312" s="80">
        <f>Fluxo_de_Caixa_Janeiro3459[[#This Row],[MAIO]]</f>
        <v>0</v>
      </c>
      <c r="H312" s="80">
        <f>Fluxo_de_Caixa_Janeiro345911[[#This Row],[JUNHO]]</f>
        <v>0</v>
      </c>
      <c r="I312" s="45"/>
      <c r="J312" s="80"/>
      <c r="K312" s="80"/>
      <c r="L312" s="80"/>
      <c r="M312" s="80"/>
      <c r="N312" s="134"/>
      <c r="O312" s="235">
        <f>SUM(Fluxo_de_Caixa_Janeiro3102013[[#This Row],[Janeiro]:[Dezembro]])</f>
        <v>0</v>
      </c>
      <c r="P312" s="26">
        <f t="shared" si="14"/>
        <v>0</v>
      </c>
      <c r="Q312" s="76">
        <v>0</v>
      </c>
      <c r="R312" s="32" t="str">
        <f>IF(Fluxo_de_Caixa_Janeiro3102013[[#This Row],[% ACUMULADO  2º SEMEST 2026]]&lt;=Fluxo_de_Caixa_Janeiro3102013[[#This Row],[Coluna1]],"VERDADEIRO","FALSO")</f>
        <v>VERDADEIRO</v>
      </c>
    </row>
    <row r="313" spans="2:18" hidden="1" x14ac:dyDescent="0.25">
      <c r="B313" s="270">
        <f>Fluxo_de_Caixa_Janeiro[[#This Row],[Fluxo de Caixa 2026 CTR]]</f>
        <v>0</v>
      </c>
      <c r="C313" s="45"/>
      <c r="D313" s="80"/>
      <c r="E313" s="80"/>
      <c r="F313" s="80">
        <f>Fluxo_de_Caixa_Janeiro345[[#This Row],[ABRIL]]</f>
        <v>0</v>
      </c>
      <c r="G313" s="80">
        <f>Fluxo_de_Caixa_Janeiro3459[[#This Row],[MAIO]]</f>
        <v>0</v>
      </c>
      <c r="H313" s="80">
        <f>Fluxo_de_Caixa_Janeiro345911[[#This Row],[JUNHO]]</f>
        <v>0</v>
      </c>
      <c r="I313" s="45"/>
      <c r="J313" s="80"/>
      <c r="K313" s="80"/>
      <c r="L313" s="80"/>
      <c r="M313" s="80"/>
      <c r="N313" s="134"/>
      <c r="O313" s="235">
        <f>SUM(Fluxo_de_Caixa_Janeiro3102013[[#This Row],[Janeiro]:[Dezembro]])</f>
        <v>0</v>
      </c>
      <c r="P313" s="26">
        <f t="shared" si="14"/>
        <v>0</v>
      </c>
      <c r="Q313" s="76">
        <v>0</v>
      </c>
      <c r="R313" s="32" t="str">
        <f>IF(Fluxo_de_Caixa_Janeiro3102013[[#This Row],[% ACUMULADO  2º SEMEST 2026]]&lt;=Fluxo_de_Caixa_Janeiro3102013[[#This Row],[Coluna1]],"VERDADEIRO","FALSO")</f>
        <v>VERDADEIRO</v>
      </c>
    </row>
    <row r="314" spans="2:18" ht="15.75" hidden="1" thickBot="1" x14ac:dyDescent="0.3">
      <c r="B314" s="280">
        <f>Fluxo_de_Caixa_Janeiro[[#This Row],[Fluxo de Caixa 2026 CTR]]</f>
        <v>0</v>
      </c>
      <c r="C314" s="163"/>
      <c r="D314" s="106"/>
      <c r="E314" s="106"/>
      <c r="F314" s="106">
        <f>Fluxo_de_Caixa_Janeiro345[[#This Row],[ABRIL]]</f>
        <v>0</v>
      </c>
      <c r="G314" s="106">
        <f>Fluxo_de_Caixa_Janeiro3459[[#This Row],[MAIO]]</f>
        <v>0</v>
      </c>
      <c r="H314" s="106">
        <f>Fluxo_de_Caixa_Janeiro345911[[#This Row],[JUNHO]]</f>
        <v>0</v>
      </c>
      <c r="I314" s="163"/>
      <c r="J314" s="106"/>
      <c r="K314" s="106"/>
      <c r="L314" s="106"/>
      <c r="M314" s="106"/>
      <c r="N314" s="135"/>
      <c r="O314" s="236">
        <f>SUM(Fluxo_de_Caixa_Janeiro3102013[[#This Row],[Janeiro]:[Dezembro]])</f>
        <v>0</v>
      </c>
      <c r="P314" s="148">
        <f t="shared" si="14"/>
        <v>0</v>
      </c>
      <c r="Q314" s="107">
        <v>0</v>
      </c>
      <c r="R314" s="32" t="str">
        <f>IF(Fluxo_de_Caixa_Janeiro3102013[[#This Row],[% ACUMULADO  2º SEMEST 2026]]&lt;=Fluxo_de_Caixa_Janeiro3102013[[#This Row],[Coluna1]],"VERDADEIRO","FALSO")</f>
        <v>VERDADEIRO</v>
      </c>
    </row>
    <row r="315" spans="2:18" ht="19.5" thickBot="1" x14ac:dyDescent="0.35">
      <c r="B315" s="168" t="str">
        <f>Fluxo_de_Caixa_Janeiro[[#This Row],[Fluxo de Caixa 2026 CTR]]</f>
        <v>5.3. INVESTIMENTO EM IMOBILIZADOS</v>
      </c>
      <c r="C315" s="158"/>
      <c r="D315" s="97"/>
      <c r="E315" s="97"/>
      <c r="F315" s="97">
        <f>Fluxo_de_Caixa_Janeiro345[[#This Row],[ABRIL]]</f>
        <v>-11641.8</v>
      </c>
      <c r="G315" s="97">
        <f>Fluxo_de_Caixa_Janeiro3459[[#This Row],[MAIO]]</f>
        <v>-11423.84</v>
      </c>
      <c r="H315" s="97">
        <f>Fluxo_de_Caixa_Janeiro345911[[#This Row],[JUNHO]]</f>
        <v>0</v>
      </c>
      <c r="I315" s="158"/>
      <c r="J315" s="97"/>
      <c r="K315" s="97"/>
      <c r="L315" s="97"/>
      <c r="M315" s="97"/>
      <c r="N315" s="129"/>
      <c r="O315" s="226">
        <f>SUM(Fluxo_de_Caixa_Janeiro3102013[[#This Row],[Janeiro]:[Dezembro]])</f>
        <v>-23065.64</v>
      </c>
      <c r="P315" s="144">
        <f t="shared" si="14"/>
        <v>1.3102794028963683E-2</v>
      </c>
      <c r="Q315" s="98">
        <v>4.801522923193551E-3</v>
      </c>
      <c r="R315" s="32" t="str">
        <f>IF(Fluxo_de_Caixa_Janeiro3102013[[#This Row],[% ACUMULADO  2º SEMEST 2026]]&lt;=Fluxo_de_Caixa_Janeiro3102013[[#This Row],[Coluna1]],"VERDADEIRO","FALSO")</f>
        <v>FALSO</v>
      </c>
    </row>
    <row r="316" spans="2:18" ht="15" customHeight="1" x14ac:dyDescent="0.25">
      <c r="B316" s="279" t="str">
        <f>Fluxo_de_Caixa_Janeiro[[#This Row],[Fluxo de Caixa 2026 CTR]]</f>
        <v>5.3.01.MOVEIS E UTENSI. IMOBILIZADOS</v>
      </c>
      <c r="C316" s="162"/>
      <c r="D316" s="104"/>
      <c r="E316" s="104"/>
      <c r="F316" s="104">
        <f>Fluxo_de_Caixa_Janeiro345[[#This Row],[ABRIL]]</f>
        <v>1929</v>
      </c>
      <c r="G316" s="104">
        <f>Fluxo_de_Caixa_Janeiro3459[[#This Row],[MAIO]]</f>
        <v>0</v>
      </c>
      <c r="H316" s="104">
        <f>Fluxo_de_Caixa_Janeiro345911[[#This Row],[JUNHO]]</f>
        <v>0</v>
      </c>
      <c r="I316" s="162"/>
      <c r="J316" s="104"/>
      <c r="K316" s="104"/>
      <c r="L316" s="104"/>
      <c r="M316" s="104"/>
      <c r="N316" s="133"/>
      <c r="O316" s="234">
        <f>SUM(Fluxo_de_Caixa_Janeiro3102013[[#This Row],[Janeiro]:[Dezembro]])</f>
        <v>1929</v>
      </c>
      <c r="P316" s="147">
        <f t="shared" si="14"/>
        <v>-1.0957983252088796E-3</v>
      </c>
      <c r="Q316" s="105">
        <v>0</v>
      </c>
      <c r="R316" s="32" t="str">
        <f>IF(Fluxo_de_Caixa_Janeiro3102013[[#This Row],[% ACUMULADO  2º SEMEST 2026]]&lt;=Fluxo_de_Caixa_Janeiro3102013[[#This Row],[Coluna1]],"VERDADEIRO","FALSO")</f>
        <v>VERDADEIRO</v>
      </c>
    </row>
    <row r="317" spans="2:18" ht="15" customHeight="1" x14ac:dyDescent="0.25">
      <c r="B317" s="391" t="str">
        <f>Fluxo_de_Caixa_Janeiro[[#This Row],[Fluxo de Caixa 2026 CTR]]</f>
        <v>5.3.02.MAQUINAS E EQUIPAM. IMOBILIZADOS</v>
      </c>
      <c r="C317" s="372"/>
      <c r="D317" s="374"/>
      <c r="E317" s="374"/>
      <c r="F317" s="374">
        <f>Fluxo_de_Caixa_Janeiro345[[#This Row],[ABRIL]]</f>
        <v>5637.8</v>
      </c>
      <c r="G317" s="374">
        <f>Fluxo_de_Caixa_Janeiro3459[[#This Row],[MAIO]]</f>
        <v>6423.84</v>
      </c>
      <c r="H317" s="374">
        <f>Fluxo_de_Caixa_Janeiro345911[[#This Row],[JUNHO]]</f>
        <v>0</v>
      </c>
      <c r="I317" s="372"/>
      <c r="J317" s="374"/>
      <c r="K317" s="374"/>
      <c r="L317" s="374"/>
      <c r="M317" s="374"/>
      <c r="N317" s="376"/>
      <c r="O317" s="234">
        <f>SUM(Fluxo_de_Caixa_Janeiro3102013[[#This Row],[Janeiro]:[Dezembro]])</f>
        <v>12061.64</v>
      </c>
      <c r="P317" s="147">
        <f t="shared" si="14"/>
        <v>-6.8518014055326234E-3</v>
      </c>
      <c r="Q317" s="105">
        <v>-3.9308516544335065E-3</v>
      </c>
      <c r="R317" s="32"/>
    </row>
    <row r="318" spans="2:18" ht="15" customHeight="1" x14ac:dyDescent="0.25">
      <c r="B318" s="391" t="str">
        <f>Fluxo_de_Caixa_Janeiro[[#This Row],[Fluxo de Caixa 2026 CTR]]</f>
        <v>5.3.03.EQUIP. INFORMATICA IMOBILIZADOS</v>
      </c>
      <c r="C318" s="379"/>
      <c r="D318" s="381"/>
      <c r="E318" s="381"/>
      <c r="F318" s="381">
        <f>Fluxo_de_Caixa_Janeiro345[[#This Row],[ABRIL]]</f>
        <v>4075</v>
      </c>
      <c r="G318" s="381">
        <f>Fluxo_de_Caixa_Janeiro3459[[#This Row],[MAIO]]</f>
        <v>0</v>
      </c>
      <c r="H318" s="381">
        <f>Fluxo_de_Caixa_Janeiro345911[[#This Row],[JUNHO]]</f>
        <v>0</v>
      </c>
      <c r="I318" s="379"/>
      <c r="J318" s="381"/>
      <c r="K318" s="381"/>
      <c r="L318" s="381"/>
      <c r="M318" s="381"/>
      <c r="N318" s="383"/>
      <c r="O318" s="234">
        <f>SUM(Fluxo_de_Caixa_Janeiro3102013[[#This Row],[Janeiro]:[Dezembro]])</f>
        <v>4075</v>
      </c>
      <c r="P318" s="147">
        <f t="shared" si="14"/>
        <v>-2.3148668611851658E-3</v>
      </c>
      <c r="Q318" s="105">
        <v>-8.7067126876004455E-4</v>
      </c>
      <c r="R318" s="32"/>
    </row>
    <row r="319" spans="2:18" ht="15" customHeight="1" x14ac:dyDescent="0.25">
      <c r="B319" s="391" t="str">
        <f>Fluxo_de_Caixa_Janeiro[[#This Row],[Fluxo de Caixa 2026 CTR]]</f>
        <v>5.3.05.AQUISICAO DE VEICU PESADO-IMOB</v>
      </c>
      <c r="C319" s="379"/>
      <c r="D319" s="381"/>
      <c r="E319" s="381"/>
      <c r="F319" s="381">
        <f>Fluxo_de_Caixa_Janeiro345[[#This Row],[ABRIL]]</f>
        <v>0</v>
      </c>
      <c r="G319" s="381">
        <f>Fluxo_de_Caixa_Janeiro3459[[#This Row],[MAIO]]</f>
        <v>0</v>
      </c>
      <c r="H319" s="381">
        <f>Fluxo_de_Caixa_Janeiro345911[[#This Row],[JUNHO]]</f>
        <v>0</v>
      </c>
      <c r="I319" s="379"/>
      <c r="J319" s="381"/>
      <c r="K319" s="381"/>
      <c r="L319" s="381"/>
      <c r="M319" s="381"/>
      <c r="N319" s="383"/>
      <c r="O319" s="234">
        <f>SUM(Fluxo_de_Caixa_Janeiro3102013[[#This Row],[Janeiro]:[Dezembro]])</f>
        <v>0</v>
      </c>
      <c r="P319" s="147">
        <f t="shared" si="14"/>
        <v>0</v>
      </c>
      <c r="Q319" s="105">
        <v>0</v>
      </c>
      <c r="R319" s="32"/>
    </row>
    <row r="320" spans="2:18" ht="15" customHeight="1" x14ac:dyDescent="0.25">
      <c r="B320" s="391" t="str">
        <f>Fluxo_de_Caixa_Janeiro[[#This Row],[Fluxo de Caixa 2026 CTR]]</f>
        <v>5.3.06.AQUISICAO DE OUTROS VEICUL-IMOB</v>
      </c>
      <c r="C320" s="379"/>
      <c r="D320" s="381"/>
      <c r="E320" s="381"/>
      <c r="F320" s="381">
        <f>Fluxo_de_Caixa_Janeiro345[[#This Row],[ABRIL]]</f>
        <v>0</v>
      </c>
      <c r="G320" s="381">
        <f>Fluxo_de_Caixa_Janeiro3459[[#This Row],[MAIO]]</f>
        <v>5000</v>
      </c>
      <c r="H320" s="381">
        <f>Fluxo_de_Caixa_Janeiro345911[[#This Row],[JUNHO]]</f>
        <v>0</v>
      </c>
      <c r="I320" s="379"/>
      <c r="J320" s="381"/>
      <c r="K320" s="381"/>
      <c r="L320" s="381"/>
      <c r="M320" s="381"/>
      <c r="N320" s="383"/>
      <c r="O320" s="234">
        <f>SUM(Fluxo_de_Caixa_Janeiro3102013[[#This Row],[Janeiro]:[Dezembro]])</f>
        <v>5000</v>
      </c>
      <c r="P320" s="147">
        <f t="shared" si="14"/>
        <v>-2.840327437037013E-3</v>
      </c>
      <c r="Q320" s="105">
        <v>0</v>
      </c>
      <c r="R320" s="32"/>
    </row>
    <row r="321" spans="2:221" ht="15" customHeight="1" thickBot="1" x14ac:dyDescent="0.3">
      <c r="B321" s="391">
        <f>Fluxo_de_Caixa_Janeiro[[#This Row],[Fluxo de Caixa 2026 CTR]]</f>
        <v>0</v>
      </c>
      <c r="C321" s="379"/>
      <c r="D321" s="381"/>
      <c r="E321" s="381"/>
      <c r="F321" s="381">
        <f>Fluxo_de_Caixa_Janeiro345[[#This Row],[ABRIL]]</f>
        <v>0</v>
      </c>
      <c r="G321" s="381">
        <f>Fluxo_de_Caixa_Janeiro3459[[#This Row],[MAIO]]</f>
        <v>0</v>
      </c>
      <c r="H321" s="381">
        <f>Fluxo_de_Caixa_Janeiro345911[[#This Row],[JUNHO]]</f>
        <v>0</v>
      </c>
      <c r="I321" s="379"/>
      <c r="J321" s="381"/>
      <c r="K321" s="381"/>
      <c r="L321" s="381"/>
      <c r="M321" s="381"/>
      <c r="N321" s="383"/>
      <c r="O321" s="234">
        <f>SUM(Fluxo_de_Caixa_Janeiro3102013[[#This Row],[Janeiro]:[Dezembro]])</f>
        <v>0</v>
      </c>
      <c r="P321" s="147">
        <f t="shared" si="14"/>
        <v>0</v>
      </c>
      <c r="Q321" s="105">
        <v>0</v>
      </c>
      <c r="R321" s="32"/>
    </row>
    <row r="322" spans="2:221" ht="19.5" thickBot="1" x14ac:dyDescent="0.35">
      <c r="B322" s="168" t="str">
        <f>Fluxo_de_Caixa_Janeiro[[#This Row],[Fluxo de Caixa 2026 CTR]]</f>
        <v>5.4. DISTRIBUIÇÃO DE LUCROS E RESULTADOS</v>
      </c>
      <c r="C322" s="158"/>
      <c r="D322" s="97"/>
      <c r="E322" s="97"/>
      <c r="F322" s="97">
        <f>Fluxo_de_Caixa_Janeiro345[[#This Row],[ABRIL]]</f>
        <v>-6578.51</v>
      </c>
      <c r="G322" s="97">
        <f>Fluxo_de_Caixa_Janeiro3459[[#This Row],[MAIO]]</f>
        <v>-8001.85</v>
      </c>
      <c r="H322" s="97">
        <f>Fluxo_de_Caixa_Janeiro345911[[#This Row],[JUNHO]]</f>
        <v>0</v>
      </c>
      <c r="I322" s="158"/>
      <c r="J322" s="97"/>
      <c r="K322" s="97"/>
      <c r="L322" s="97"/>
      <c r="M322" s="97"/>
      <c r="N322" s="129"/>
      <c r="O322" s="226">
        <f>SUM(Fluxo_de_Caixa_Janeiro3102013[[#This Row],[Janeiro]:[Dezembro]])</f>
        <v>-14580.36</v>
      </c>
      <c r="P322" s="144">
        <f t="shared" si="14"/>
        <v>8.2825993099753976E-3</v>
      </c>
      <c r="Q322" s="98">
        <v>1.9418485075067674E-2</v>
      </c>
      <c r="R322" s="32"/>
    </row>
    <row r="323" spans="2:221" ht="15" customHeight="1" x14ac:dyDescent="0.25">
      <c r="B323" s="391" t="str">
        <f>Fluxo_de_Caixa_Janeiro[[#This Row],[Fluxo de Caixa 2026 CTR]]</f>
        <v>5.4.01.DISTRIBUICAO DE LUCROS SOCIOS</v>
      </c>
      <c r="C323" s="380"/>
      <c r="D323" s="382"/>
      <c r="E323" s="382"/>
      <c r="F323" s="382">
        <f>Fluxo_de_Caixa_Janeiro345[[#This Row],[ABRIL]]</f>
        <v>0</v>
      </c>
      <c r="G323" s="382">
        <f>Fluxo_de_Caixa_Janeiro3459[[#This Row],[MAIO]]</f>
        <v>0</v>
      </c>
      <c r="H323" s="382">
        <f>Fluxo_de_Caixa_Janeiro345911[[#This Row],[JUNHO]]</f>
        <v>0</v>
      </c>
      <c r="I323" s="380"/>
      <c r="J323" s="382"/>
      <c r="K323" s="382"/>
      <c r="L323" s="382"/>
      <c r="M323" s="382"/>
      <c r="N323" s="384"/>
      <c r="O323" s="235">
        <f>SUM(Fluxo_de_Caixa_Janeiro3102013[[#This Row],[Janeiro]:[Dezembro]])</f>
        <v>0</v>
      </c>
      <c r="P323" s="26">
        <f t="shared" si="14"/>
        <v>0</v>
      </c>
      <c r="Q323" s="76">
        <v>-1.8467395858436736E-2</v>
      </c>
      <c r="R323" s="32"/>
    </row>
    <row r="324" spans="2:221" ht="15" customHeight="1" x14ac:dyDescent="0.25">
      <c r="B324" s="270" t="str">
        <f>Fluxo_de_Caixa_Janeiro[[#This Row],[Fluxo de Caixa 2026 CTR]]</f>
        <v>5.4.02.COMBUST E LUBRIFICANT - DIRETORIA</v>
      </c>
      <c r="C324" s="45"/>
      <c r="D324" s="80"/>
      <c r="E324" s="80"/>
      <c r="F324" s="80">
        <f>Fluxo_de_Caixa_Janeiro345[[#This Row],[ABRIL]]</f>
        <v>0</v>
      </c>
      <c r="G324" s="80">
        <f>Fluxo_de_Caixa_Janeiro3459[[#This Row],[MAIO]]</f>
        <v>0</v>
      </c>
      <c r="H324" s="80">
        <f>Fluxo_de_Caixa_Janeiro345911[[#This Row],[JUNHO]]</f>
        <v>0</v>
      </c>
      <c r="I324" s="45"/>
      <c r="J324" s="80"/>
      <c r="K324" s="80"/>
      <c r="L324" s="80"/>
      <c r="M324" s="80"/>
      <c r="N324" s="134"/>
      <c r="O324" s="235">
        <f>SUM(Fluxo_de_Caixa_Janeiro3102013[[#This Row],[Janeiro]:[Dezembro]])</f>
        <v>0</v>
      </c>
      <c r="P324" s="26">
        <f t="shared" si="14"/>
        <v>0</v>
      </c>
      <c r="Q324" s="76">
        <v>0</v>
      </c>
      <c r="R324" s="32" t="str">
        <f>IF(Fluxo_de_Caixa_Janeiro3102013[[#This Row],[% ACUMULADO  2º SEMEST 2026]]&lt;=Fluxo_de_Caixa_Janeiro3102013[[#This Row],[Coluna1]],"VERDADEIRO","FALSO")</f>
        <v>VERDADEIRO</v>
      </c>
    </row>
    <row r="325" spans="2:221" ht="15" customHeight="1" x14ac:dyDescent="0.25">
      <c r="B325" s="270" t="str">
        <f>Fluxo_de_Caixa_Janeiro[[#This Row],[Fluxo de Caixa 2026 CTR]]</f>
        <v>5.4.03.VIAGENS E ESTADAS - DIRETORIA</v>
      </c>
      <c r="C325" s="45"/>
      <c r="D325" s="80"/>
      <c r="E325" s="80"/>
      <c r="F325" s="80">
        <f>Fluxo_de_Caixa_Janeiro345[[#This Row],[ABRIL]]</f>
        <v>2008.2</v>
      </c>
      <c r="G325" s="80">
        <f>Fluxo_de_Caixa_Janeiro3459[[#This Row],[MAIO]]</f>
        <v>8001.85</v>
      </c>
      <c r="H325" s="80">
        <f>Fluxo_de_Caixa_Janeiro345911[[#This Row],[JUNHO]]</f>
        <v>0</v>
      </c>
      <c r="I325" s="45"/>
      <c r="J325" s="80"/>
      <c r="K325" s="80"/>
      <c r="L325" s="80"/>
      <c r="M325" s="80"/>
      <c r="N325" s="134"/>
      <c r="O325" s="235">
        <f>SUM(Fluxo_de_Caixa_Janeiro3102013[[#This Row],[Janeiro]:[Dezembro]])</f>
        <v>10010.050000000001</v>
      </c>
      <c r="P325" s="26">
        <f t="shared" si="14"/>
        <v>-5.6863639322224718E-3</v>
      </c>
      <c r="Q325" s="76">
        <v>-9.5108921663093933E-4</v>
      </c>
      <c r="R325" s="32" t="str">
        <f>IF(Fluxo_de_Caixa_Janeiro3102013[[#This Row],[% ACUMULADO  2º SEMEST 2026]]&lt;=Fluxo_de_Caixa_Janeiro3102013[[#This Row],[Coluna1]],"VERDADEIRO","FALSO")</f>
        <v>VERDADEIRO</v>
      </c>
    </row>
    <row r="326" spans="2:221" ht="15" customHeight="1" x14ac:dyDescent="0.25">
      <c r="B326" s="270" t="str">
        <f>Fluxo_de_Caixa_Janeiro[[#This Row],[Fluxo de Caixa 2026 CTR]]</f>
        <v>5.4.04.DISTRIBUIÇÃO DE LUCROS E RESULTADOS</v>
      </c>
      <c r="C326" s="45"/>
      <c r="D326" s="80"/>
      <c r="E326" s="80"/>
      <c r="F326" s="80">
        <f>Fluxo_de_Caixa_Janeiro345[[#This Row],[ABRIL]]</f>
        <v>4570.3100000000004</v>
      </c>
      <c r="G326" s="80">
        <f>Fluxo_de_Caixa_Janeiro3459[[#This Row],[MAIO]]</f>
        <v>0</v>
      </c>
      <c r="H326" s="80">
        <f>Fluxo_de_Caixa_Janeiro345911[[#This Row],[JUNHO]]</f>
        <v>0</v>
      </c>
      <c r="I326" s="45"/>
      <c r="J326" s="80"/>
      <c r="K326" s="80"/>
      <c r="L326" s="80"/>
      <c r="M326" s="80"/>
      <c r="N326" s="134"/>
      <c r="O326" s="235">
        <f>SUM(Fluxo_de_Caixa_Janeiro3102013[[#This Row],[Janeiro]:[Dezembro]])</f>
        <v>4570.3100000000004</v>
      </c>
      <c r="P326" s="630" t="str">
        <f>IFERROR(O326/$C$332,"0,00%")</f>
        <v>0,00%</v>
      </c>
      <c r="Q326" s="76" t="s">
        <v>240</v>
      </c>
      <c r="R326" s="32" t="str">
        <f>IF(Fluxo_de_Caixa_Janeiro3102013[[#This Row],[% ACUMULADO  2º SEMEST 2026]]&lt;=Fluxo_de_Caixa_Janeiro3102013[[#This Row],[Coluna1]],"VERDADEIRO","FALSO")</f>
        <v>VERDADEIRO</v>
      </c>
    </row>
    <row r="327" spans="2:221" ht="15" customHeight="1" x14ac:dyDescent="0.25">
      <c r="B327" s="270">
        <f>Fluxo_de_Caixa_Janeiro[[#This Row],[Fluxo de Caixa 2026 CTR]]</f>
        <v>0</v>
      </c>
      <c r="C327" s="45"/>
      <c r="D327" s="80"/>
      <c r="E327" s="80"/>
      <c r="F327" s="80">
        <f>Fluxo_de_Caixa_Janeiro345[[#This Row],[ABRIL]]</f>
        <v>0</v>
      </c>
      <c r="G327" s="80">
        <f>Fluxo_de_Caixa_Janeiro3459[[#This Row],[MAIO]]</f>
        <v>0</v>
      </c>
      <c r="H327" s="80">
        <f>Fluxo_de_Caixa_Janeiro345911[[#This Row],[JUNHO]]</f>
        <v>0</v>
      </c>
      <c r="I327" s="45"/>
      <c r="J327" s="80"/>
      <c r="K327" s="80"/>
      <c r="L327" s="80"/>
      <c r="M327" s="80"/>
      <c r="N327" s="134"/>
      <c r="O327" s="235">
        <f>SUM(Fluxo_de_Caixa_Janeiro3102013[[#This Row],[Janeiro]:[Dezembro]])</f>
        <v>0</v>
      </c>
      <c r="P327" s="630" t="str">
        <f>IFERROR(O327/$C$332,"0,00%")</f>
        <v>0,00%</v>
      </c>
      <c r="Q327" s="76" t="s">
        <v>240</v>
      </c>
      <c r="R327" s="32" t="str">
        <f>IF(Fluxo_de_Caixa_Janeiro3102013[[#This Row],[% ACUMULADO  2º SEMEST 2026]]&lt;=Fluxo_de_Caixa_Janeiro3102013[[#This Row],[Coluna1]],"VERDADEIRO","FALSO")</f>
        <v>VERDADEIRO</v>
      </c>
    </row>
    <row r="328" spans="2:221" ht="15" customHeight="1" x14ac:dyDescent="0.25">
      <c r="B328" s="270">
        <f>Fluxo_de_Caixa_Janeiro[[#This Row],[Fluxo de Caixa 2026 CTR]]</f>
        <v>0</v>
      </c>
      <c r="C328" s="45"/>
      <c r="D328" s="80"/>
      <c r="E328" s="80"/>
      <c r="F328" s="80">
        <f>Fluxo_de_Caixa_Janeiro345[[#This Row],[ABRIL]]</f>
        <v>0</v>
      </c>
      <c r="G328" s="80">
        <f>Fluxo_de_Caixa_Janeiro3459[[#This Row],[MAIO]]</f>
        <v>0</v>
      </c>
      <c r="H328" s="80">
        <f>Fluxo_de_Caixa_Janeiro345911[[#This Row],[JUNHO]]</f>
        <v>0</v>
      </c>
      <c r="I328" s="45"/>
      <c r="J328" s="80"/>
      <c r="K328" s="80"/>
      <c r="L328" s="80"/>
      <c r="M328" s="80"/>
      <c r="N328" s="134"/>
      <c r="O328" s="235">
        <f>SUM(Fluxo_de_Caixa_Janeiro3102013[[#This Row],[Janeiro]:[Dezembro]])</f>
        <v>0</v>
      </c>
      <c r="P328" s="630" t="str">
        <f>IFERROR(O328/$C$332,"0,00%")</f>
        <v>0,00%</v>
      </c>
      <c r="Q328" s="76" t="s">
        <v>240</v>
      </c>
      <c r="R328" s="32" t="str">
        <f>IF(Fluxo_de_Caixa_Janeiro3102013[[#This Row],[% ACUMULADO  2º SEMEST 2026]]&lt;=Fluxo_de_Caixa_Janeiro3102013[[#This Row],[Coluna1]],"VERDADEIRO","FALSO")</f>
        <v>VERDADEIRO</v>
      </c>
    </row>
    <row r="329" spans="2:221" ht="15" customHeight="1" thickBot="1" x14ac:dyDescent="0.3">
      <c r="B329" s="280">
        <f>Fluxo_de_Caixa_Janeiro[[#This Row],[Fluxo de Caixa 2026 CTR]]</f>
        <v>0</v>
      </c>
      <c r="C329" s="163"/>
      <c r="D329" s="106"/>
      <c r="E329" s="106"/>
      <c r="F329" s="106">
        <f>Fluxo_de_Caixa_Janeiro345[[#This Row],[ABRIL]]</f>
        <v>0</v>
      </c>
      <c r="G329" s="106">
        <f>Fluxo_de_Caixa_Janeiro3459[[#This Row],[MAIO]]</f>
        <v>0</v>
      </c>
      <c r="H329" s="135">
        <f>Fluxo_de_Caixa_Janeiro345911[[#This Row],[JUNHO]]</f>
        <v>0</v>
      </c>
      <c r="I329" s="106"/>
      <c r="J329" s="106"/>
      <c r="K329" s="106"/>
      <c r="L329" s="106"/>
      <c r="M329" s="106"/>
      <c r="N329" s="135"/>
      <c r="O329" s="236">
        <f>SUM(Fluxo_de_Caixa_Janeiro3102013[[#This Row],[Janeiro]:[Dezembro]])</f>
        <v>0</v>
      </c>
      <c r="P329" s="631" t="str">
        <f>IFERROR(O329/$C$332,"0,00%")</f>
        <v>0,00%</v>
      </c>
      <c r="Q329" s="107" t="s">
        <v>240</v>
      </c>
      <c r="R329" s="32" t="str">
        <f>IF(Fluxo_de_Caixa_Janeiro3102013[[#This Row],[% ACUMULADO  2º SEMEST 2026]]&lt;=Fluxo_de_Caixa_Janeiro3102013[[#This Row],[Coluna1]],"VERDADEIRO","FALSO")</f>
        <v>VERDADEIRO</v>
      </c>
    </row>
    <row r="330" spans="2:221" s="4" customFormat="1" ht="24" thickBot="1" x14ac:dyDescent="0.4">
      <c r="B330" s="281" t="str">
        <f>Fluxo_de_Caixa_Janeiro[[#This Row],[Fluxo de Caixa 2026 CTR]]</f>
        <v>Total das Despesas Não Operacional</v>
      </c>
      <c r="C330" s="177"/>
      <c r="D330" s="184"/>
      <c r="E330" s="184"/>
      <c r="F330" s="184">
        <f>Fluxo_de_Caixa_Janeiro345[[#This Row],[ABRIL]]</f>
        <v>-260629.22</v>
      </c>
      <c r="G330" s="184">
        <f>Fluxo_de_Caixa_Janeiro3459[[#This Row],[MAIO]]</f>
        <v>-57579.99</v>
      </c>
      <c r="H330" s="291">
        <f>Fluxo_de_Caixa_Janeiro345911[[#This Row],[JUNHO]]</f>
        <v>0</v>
      </c>
      <c r="I330" s="299"/>
      <c r="J330" s="184"/>
      <c r="K330" s="184"/>
      <c r="L330" s="184"/>
      <c r="M330" s="184"/>
      <c r="N330" s="184"/>
      <c r="O330" s="227">
        <f>SUM(Fluxo_de_Caixa_Janeiro3102013[[#This Row],[Janeiro]:[Dezembro]])</f>
        <v>-318209.21000000002</v>
      </c>
      <c r="P330" s="632">
        <f>IFERROR(O330/(O27+O238),"0,00%")</f>
        <v>-0.18076366997617455</v>
      </c>
      <c r="Q330" s="109">
        <v>-3.2035547399962505E-2</v>
      </c>
      <c r="R330" s="32" t="str">
        <f>IF(Fluxo_de_Caixa_Janeiro3102013[[#This Row],[% ACUMULADO  2º SEMEST 2026]]&gt;=Fluxo_de_Caixa_Janeiro3102013[[#This Row],[Coluna1]],"VERDADEIRO","FALSO")</f>
        <v>FALSO</v>
      </c>
      <c r="S330" s="1"/>
      <c r="T330" s="248"/>
      <c r="U330" s="1"/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35">
      <c r="B331" s="173" t="str">
        <f>Fluxo_de_Caixa_Janeiro[[#This Row],[Fluxo de Caixa 2026 CTR]]</f>
        <v>Saldo Inicial Conta Movimento</v>
      </c>
      <c r="C331" s="178"/>
      <c r="D331" s="185"/>
      <c r="E331" s="185"/>
      <c r="F331" s="185">
        <f>Fluxo_de_Caixa_Janeiro345[[#This Row],[ABRIL]]</f>
        <v>437595.5799999999</v>
      </c>
      <c r="G331" s="185">
        <f>Fluxo_de_Caixa_Janeiro3459[[#This Row],[MAIO]]</f>
        <v>515135.91000000003</v>
      </c>
      <c r="H331" s="292">
        <f>Fluxo_de_Caixa_Janeiro345911[[#This Row],[JUNHO]]</f>
        <v>730895.57000000007</v>
      </c>
      <c r="I331" s="300"/>
      <c r="J331" s="185"/>
      <c r="K331" s="185"/>
      <c r="L331" s="185"/>
      <c r="M331" s="185"/>
      <c r="N331" s="185"/>
      <c r="O331" s="237">
        <f>Fluxo_de_Caixa_Janeiro3102013[[#This Row],[Abril]]</f>
        <v>437595.5799999999</v>
      </c>
      <c r="P331" s="633"/>
      <c r="Q331" s="108"/>
      <c r="R331" s="32"/>
      <c r="S331" s="1"/>
      <c r="T331" s="1"/>
      <c r="U331" s="1"/>
      <c r="V331" s="1"/>
      <c r="W331" s="1"/>
      <c r="X331" s="1"/>
      <c r="Y331" s="1"/>
    </row>
    <row r="332" spans="2:221" ht="19.149999999999999" customHeight="1" thickBot="1" x14ac:dyDescent="0.35">
      <c r="B332" s="282" t="str">
        <f>Fluxo_de_Caixa_Janeiro[[#This Row],[Fluxo de Caixa 2026 CTR]]</f>
        <v>Total Receitas Operac. e Não Operac.</v>
      </c>
      <c r="C332" s="179"/>
      <c r="D332" s="186"/>
      <c r="E332" s="186"/>
      <c r="F332" s="186">
        <f>Fluxo_de_Caixa_Janeiro345[[#This Row],[ABRIL]]</f>
        <v>1010347</v>
      </c>
      <c r="G332" s="186">
        <f>Fluxo_de_Caixa_Janeiro3459[[#This Row],[MAIO]]</f>
        <v>750013.42</v>
      </c>
      <c r="H332" s="293">
        <f>Fluxo_de_Caixa_Janeiro345911[[#This Row],[JUNHO]]</f>
        <v>0</v>
      </c>
      <c r="I332" s="301"/>
      <c r="J332" s="186"/>
      <c r="K332" s="186"/>
      <c r="L332" s="186"/>
      <c r="M332" s="186"/>
      <c r="N332" s="186"/>
      <c r="O332" s="238">
        <f>SUM(Fluxo_de_Caixa_Janeiro3102013[[#This Row],[Janeiro]:[Dezembro]])</f>
        <v>1760360.42</v>
      </c>
      <c r="P332" s="634">
        <f>SUM(P27,P238)</f>
        <v>1</v>
      </c>
      <c r="Q332" s="111">
        <v>1.0000000000000002</v>
      </c>
      <c r="R332" s="32"/>
      <c r="S332" s="1"/>
      <c r="T332" s="1"/>
      <c r="U332" s="1"/>
      <c r="V332" s="1"/>
      <c r="W332" s="1"/>
      <c r="X332" s="1"/>
      <c r="Y332" s="1"/>
    </row>
    <row r="333" spans="2:221" s="5" customFormat="1" ht="27" customHeight="1" thickBot="1" x14ac:dyDescent="0.35">
      <c r="B333" s="283" t="str">
        <f>Fluxo_de_Caixa_Janeiro[[#This Row],[Fluxo de Caixa 2026 CTR]]</f>
        <v>Total Despesas Operac. e Não Operac.</v>
      </c>
      <c r="C333" s="180"/>
      <c r="D333" s="187"/>
      <c r="E333" s="187"/>
      <c r="F333" s="187">
        <f>Fluxo_de_Caixa_Janeiro345[[#This Row],[ABRIL]]</f>
        <v>-933056.99</v>
      </c>
      <c r="G333" s="187">
        <f>Fluxo_de_Caixa_Janeiro3459[[#This Row],[MAIO]]</f>
        <v>-531924.26</v>
      </c>
      <c r="H333" s="294">
        <f>Fluxo_de_Caixa_Janeiro345911[[#This Row],[JUNHO]]</f>
        <v>0</v>
      </c>
      <c r="I333" s="302"/>
      <c r="J333" s="187"/>
      <c r="K333" s="187"/>
      <c r="L333" s="187"/>
      <c r="M333" s="187"/>
      <c r="N333" s="187"/>
      <c r="O333" s="239">
        <f>SUM(Fluxo_de_Caixa_Janeiro3102013[[#This Row],[Janeiro]:[Dezembro]])</f>
        <v>-1464981.25</v>
      </c>
      <c r="P333" s="635">
        <f>IFERROR(O333/O332,"0,00%")</f>
        <v>-0.83220528782395597</v>
      </c>
      <c r="Q333" s="110">
        <v>-1.0014543005501313</v>
      </c>
      <c r="R333" s="32" t="str">
        <f>IF(Fluxo_de_Caixa_Janeiro3102013[[#This Row],[% ACUMULADO  2º SEMEST 2026]]&gt;=Fluxo_de_Caixa_Janeiro3102013[[#This Row],[Coluna1]],"VERDADEIRO","FALSO")</f>
        <v>VERDADEIRO</v>
      </c>
      <c r="S333" s="8"/>
      <c r="T333" s="8"/>
      <c r="U333" s="8"/>
      <c r="V333" s="8"/>
      <c r="W333" s="8"/>
      <c r="X333" s="8"/>
      <c r="Y333" s="8"/>
    </row>
    <row r="334" spans="2:221" ht="21.75" thickBot="1" x14ac:dyDescent="0.3">
      <c r="B334" s="271" t="str">
        <f>Fluxo_de_Caixa_Janeiro[[#This Row],[Fluxo de Caixa 2026 CTR]]</f>
        <v xml:space="preserve">Saldo Liquido Final  </v>
      </c>
      <c r="C334" s="181"/>
      <c r="D334" s="188"/>
      <c r="E334" s="188"/>
      <c r="F334" s="188">
        <f>Fluxo_de_Caixa_Janeiro345[[#This Row],[ABRIL]]</f>
        <v>77290.010000000009</v>
      </c>
      <c r="G334" s="188">
        <f>Fluxo_de_Caixa_Janeiro3459[[#This Row],[MAIO]]</f>
        <v>218089.16000000003</v>
      </c>
      <c r="H334" s="295">
        <f>Fluxo_de_Caixa_Janeiro345911[[#This Row],[JUNHO]]</f>
        <v>0</v>
      </c>
      <c r="I334" s="303"/>
      <c r="J334" s="188"/>
      <c r="K334" s="188"/>
      <c r="L334" s="188"/>
      <c r="M334" s="188"/>
      <c r="N334" s="188"/>
      <c r="O334" s="240">
        <f>SUM(Fluxo_de_Caixa_Janeiro3102013[[#This Row],[Janeiro]:[Dezembro]])</f>
        <v>295379.17000000004</v>
      </c>
      <c r="P334" s="636">
        <f>IFERROR(O334/O332,"0,00%")</f>
        <v>0.16779471217604408</v>
      </c>
      <c r="Q334" s="77">
        <v>-1.4543005501311836E-3</v>
      </c>
      <c r="R334" s="32" t="str">
        <f>IF(Fluxo_de_Caixa_Janeiro3102013[[#This Row],[% ACUMULADO  2º SEMEST 2026]]&gt;=Fluxo_de_Caixa_Janeiro3102013[[#This Row],[Coluna1]],"VERDADEIRO","FALSO")</f>
        <v>VERDADEIRO</v>
      </c>
      <c r="S334" s="1"/>
      <c r="T334" s="1"/>
      <c r="U334" s="1"/>
      <c r="V334" s="1"/>
      <c r="W334" s="1"/>
      <c r="X334" s="1"/>
      <c r="Y334" s="1"/>
    </row>
    <row r="335" spans="2:221" ht="27" thickBot="1" x14ac:dyDescent="0.45">
      <c r="B335" s="174" t="str">
        <f>Fluxo_de_Caixa_Janeiro[[#This Row],[Fluxo de Caixa 2026 CTR]]</f>
        <v xml:space="preserve">Saldo Liquido Ajustado  </v>
      </c>
      <c r="C335" s="182"/>
      <c r="D335" s="189"/>
      <c r="E335" s="189"/>
      <c r="F335" s="189">
        <f>Fluxo_de_Caixa_Janeiro345[[#This Row],[ABRIL]]</f>
        <v>514885.58999999985</v>
      </c>
      <c r="G335" s="189">
        <f>Fluxo_de_Caixa_Janeiro3459[[#This Row],[MAIO]]</f>
        <v>733225.07000000007</v>
      </c>
      <c r="H335" s="296">
        <f>Fluxo_de_Caixa_Janeiro345911[[#This Row],[JUNHO]]</f>
        <v>730895.57000000007</v>
      </c>
      <c r="I335" s="304"/>
      <c r="J335" s="189"/>
      <c r="K335" s="189"/>
      <c r="L335" s="189"/>
      <c r="M335" s="189"/>
      <c r="N335" s="189"/>
      <c r="O335" s="241">
        <f>SUM(O332,O331,O333)</f>
        <v>732974.75</v>
      </c>
      <c r="P335" s="153">
        <f>IFERROR(O335/(O332+O331),"0,00%")</f>
        <v>0.33348017430740196</v>
      </c>
      <c r="Q335" s="112">
        <v>1.6206616752372873E-3</v>
      </c>
      <c r="R335" s="32" t="str">
        <f>IF(Fluxo_de_Caixa_Janeiro3102013[[#This Row],[% ACUMULADO  2º SEMEST 2026]]&gt;=Fluxo_de_Caixa_Janeiro3102013[[#This Row],[Coluna1]],"VERDADEIRO","FALSO")</f>
        <v>VERDADEIRO</v>
      </c>
    </row>
    <row r="336" spans="2:221" ht="24" thickBot="1" x14ac:dyDescent="0.4">
      <c r="B336" s="175" t="str">
        <f>Fluxo_de_Caixa_Janeiro[[#This Row],[Fluxo de Caixa 2026 CTR]]</f>
        <v>Disponíveis nas Contas Movimento</v>
      </c>
      <c r="C336" s="183"/>
      <c r="D336" s="190"/>
      <c r="E336" s="190"/>
      <c r="F336" s="190">
        <f>Fluxo_de_Caixa_Janeiro345[[#This Row],[ABRIL]]</f>
        <v>515135.91000000003</v>
      </c>
      <c r="G336" s="190">
        <f>Fluxo_de_Caixa_Janeiro3459[[#This Row],[MAIO]]</f>
        <v>733125.37</v>
      </c>
      <c r="H336" s="297">
        <f>Fluxo_de_Caixa_Janeiro345911[[#This Row],[JUNHO]]</f>
        <v>0</v>
      </c>
      <c r="I336" s="305"/>
      <c r="J336" s="190"/>
      <c r="K336" s="190"/>
      <c r="L336" s="190"/>
      <c r="M336" s="190"/>
      <c r="N336" s="190"/>
      <c r="O336" s="242">
        <f>SUM(O337:O360)</f>
        <v>0</v>
      </c>
      <c r="P336" s="254">
        <f>SUM(P337:P360)</f>
        <v>0</v>
      </c>
      <c r="Q336" s="114"/>
      <c r="R336" s="34"/>
      <c r="T336" s="404">
        <f>Fluxo_de_Caixa_Janeiro3102013[[#This Row],[Março]]-C331</f>
        <v>0</v>
      </c>
    </row>
    <row r="337" spans="2:18" x14ac:dyDescent="0.25">
      <c r="B337" s="47" t="str">
        <f>Fluxo_de_Caixa_Janeiro[[#This Row],[Fluxo de Caixa 2026 CTR]]</f>
        <v>1.0 - TESOURARIA MATRIZ PALMAS</v>
      </c>
      <c r="C337" s="41"/>
      <c r="D337" s="81"/>
      <c r="E337" s="81"/>
      <c r="F337" s="81">
        <f>Fluxo_de_Caixa_Janeiro345[[#This Row],[ABRIL]]</f>
        <v>421.79</v>
      </c>
      <c r="G337" s="81">
        <f>Fluxo_de_Caixa_Janeiro3459[[#This Row],[MAIO]]</f>
        <v>595.79</v>
      </c>
      <c r="H337" s="118">
        <f>Fluxo_de_Caixa_Janeiro345911[[#This Row],[JUNHO]]</f>
        <v>0</v>
      </c>
      <c r="I337" s="81"/>
      <c r="J337" s="81"/>
      <c r="K337" s="81"/>
      <c r="L337" s="81"/>
      <c r="M337" s="81"/>
      <c r="N337" s="118"/>
      <c r="O337" s="243">
        <f>Fluxo_de_Caixa_Janeiro3102013[[#This Row],[Junho]]</f>
        <v>0</v>
      </c>
      <c r="P337" s="28" t="str">
        <f t="shared" ref="P337:P361" si="15">IFERROR(O337/$O$336,"0,00%")</f>
        <v>0,00%</v>
      </c>
      <c r="Q337" s="113"/>
      <c r="R337" s="34"/>
    </row>
    <row r="338" spans="2:18" x14ac:dyDescent="0.25">
      <c r="B338" s="47" t="str">
        <f>Fluxo_de_Caixa_Janeiro[[#This Row],[Fluxo de Caixa 2026 CTR]]</f>
        <v>1.1 - BANCO DO BRASIL C.C.60409-7 MATRIZ</v>
      </c>
      <c r="C338" s="35"/>
      <c r="D338" s="62"/>
      <c r="E338" s="62"/>
      <c r="F338" s="62">
        <f>Fluxo_de_Caixa_Janeiro345[[#This Row],[ABRIL]]</f>
        <v>52517.95</v>
      </c>
      <c r="G338" s="62">
        <f>Fluxo_de_Caixa_Janeiro3459[[#This Row],[MAIO]]</f>
        <v>137058.82</v>
      </c>
      <c r="H338" s="119">
        <f>Fluxo_de_Caixa_Janeiro345911[[#This Row],[JUNHO]]</f>
        <v>0</v>
      </c>
      <c r="I338" s="62"/>
      <c r="J338" s="62"/>
      <c r="K338" s="62"/>
      <c r="L338" s="62"/>
      <c r="M338" s="62"/>
      <c r="N338" s="119"/>
      <c r="O338" s="243">
        <f>Fluxo_de_Caixa_Janeiro3102013[[#This Row],[Junho]]</f>
        <v>0</v>
      </c>
      <c r="P338" s="138" t="str">
        <f t="shared" si="15"/>
        <v>0,00%</v>
      </c>
      <c r="Q338" s="78"/>
      <c r="R338" s="34"/>
    </row>
    <row r="339" spans="2:18" x14ac:dyDescent="0.25">
      <c r="B339" s="47">
        <f>Fluxo_de_Caixa_Janeiro[[#This Row],[Fluxo de Caixa 2026 CTR]]</f>
        <v>0</v>
      </c>
      <c r="C339" s="35"/>
      <c r="D339" s="62"/>
      <c r="E339" s="62"/>
      <c r="F339" s="62">
        <f>Fluxo_de_Caixa_Janeiro345[[#This Row],[ABRIL]]</f>
        <v>0</v>
      </c>
      <c r="G339" s="62">
        <f>Fluxo_de_Caixa_Janeiro3459[[#This Row],[MAIO]]</f>
        <v>0</v>
      </c>
      <c r="H339" s="119">
        <f>Fluxo_de_Caixa_Janeiro345911[[#This Row],[JUNHO]]</f>
        <v>0</v>
      </c>
      <c r="I339" s="62"/>
      <c r="J339" s="62"/>
      <c r="K339" s="62"/>
      <c r="L339" s="62"/>
      <c r="M339" s="62"/>
      <c r="N339" s="119"/>
      <c r="O339" s="243">
        <f>Fluxo_de_Caixa_Janeiro3102013[[#This Row],[Junho]]</f>
        <v>0</v>
      </c>
      <c r="P339" s="138" t="str">
        <f t="shared" si="15"/>
        <v>0,00%</v>
      </c>
      <c r="Q339" s="78"/>
      <c r="R339" s="34"/>
    </row>
    <row r="340" spans="2:18" x14ac:dyDescent="0.25">
      <c r="B340" s="47" t="str">
        <f>Fluxo_de_Caixa_Janeiro[[#This Row],[Fluxo de Caixa 2026 CTR]]</f>
        <v>1.2-BRADESCO 15232-3 MATRIZ</v>
      </c>
      <c r="C340" s="35"/>
      <c r="D340" s="62"/>
      <c r="E340" s="62"/>
      <c r="F340" s="62">
        <f>Fluxo_de_Caixa_Janeiro345[[#This Row],[ABRIL]]</f>
        <v>733.84</v>
      </c>
      <c r="G340" s="62">
        <f>Fluxo_de_Caixa_Janeiro3459[[#This Row],[MAIO]]</f>
        <v>28967.96</v>
      </c>
      <c r="H340" s="119">
        <f>Fluxo_de_Caixa_Janeiro345911[[#This Row],[JUNHO]]</f>
        <v>0</v>
      </c>
      <c r="I340" s="62"/>
      <c r="J340" s="62"/>
      <c r="K340" s="62"/>
      <c r="L340" s="62"/>
      <c r="M340" s="62"/>
      <c r="N340" s="119"/>
      <c r="O340" s="243">
        <f>Fluxo_de_Caixa_Janeiro3102013[[#This Row],[Junho]]</f>
        <v>0</v>
      </c>
      <c r="P340" s="138" t="str">
        <f t="shared" si="15"/>
        <v>0,00%</v>
      </c>
      <c r="Q340" s="78"/>
      <c r="R340" s="34"/>
    </row>
    <row r="341" spans="2:18" x14ac:dyDescent="0.25">
      <c r="B341" s="47">
        <f>Fluxo_de_Caixa_Janeiro[[#This Row],[Fluxo de Caixa 2026 CTR]]</f>
        <v>0</v>
      </c>
      <c r="C341" s="35"/>
      <c r="D341" s="62"/>
      <c r="E341" s="62"/>
      <c r="F341" s="62">
        <f>Fluxo_de_Caixa_Janeiro345[[#This Row],[ABRIL]]</f>
        <v>0</v>
      </c>
      <c r="G341" s="62">
        <f>Fluxo_de_Caixa_Janeiro3459[[#This Row],[MAIO]]</f>
        <v>0</v>
      </c>
      <c r="H341" s="119">
        <f>Fluxo_de_Caixa_Janeiro345911[[#This Row],[JUNHO]]</f>
        <v>0</v>
      </c>
      <c r="I341" s="62"/>
      <c r="J341" s="62"/>
      <c r="K341" s="62"/>
      <c r="L341" s="62"/>
      <c r="M341" s="62"/>
      <c r="N341" s="119"/>
      <c r="O341" s="243">
        <f>Fluxo_de_Caixa_Janeiro3102013[[#This Row],[Junho]]</f>
        <v>0</v>
      </c>
      <c r="P341" s="138" t="str">
        <f t="shared" si="15"/>
        <v>0,00%</v>
      </c>
      <c r="Q341" s="78"/>
      <c r="R341" s="34"/>
    </row>
    <row r="342" spans="2:18" x14ac:dyDescent="0.25">
      <c r="B342" s="47" t="str">
        <f>Fluxo_de_Caixa_Janeiro[[#This Row],[Fluxo de Caixa 2026 CTR]]</f>
        <v>1.3 - BANCO STONE MATRIZ C.C 40256726-7</v>
      </c>
      <c r="C342" s="35"/>
      <c r="D342" s="62"/>
      <c r="E342" s="62"/>
      <c r="F342" s="62">
        <f>Fluxo_de_Caixa_Janeiro345[[#This Row],[ABRIL]]</f>
        <v>0</v>
      </c>
      <c r="G342" s="62">
        <f>Fluxo_de_Caixa_Janeiro3459[[#This Row],[MAIO]]</f>
        <v>0</v>
      </c>
      <c r="H342" s="119">
        <f>Fluxo_de_Caixa_Janeiro345911[[#This Row],[JUNHO]]</f>
        <v>0</v>
      </c>
      <c r="I342" s="62"/>
      <c r="J342" s="62"/>
      <c r="K342" s="62"/>
      <c r="L342" s="62"/>
      <c r="M342" s="62"/>
      <c r="N342" s="119"/>
      <c r="O342" s="243">
        <f>Fluxo_de_Caixa_Janeiro3102013[[#This Row],[Junho]]</f>
        <v>0</v>
      </c>
      <c r="P342" s="138" t="str">
        <f t="shared" si="15"/>
        <v>0,00%</v>
      </c>
      <c r="Q342" s="78"/>
      <c r="R342" s="34"/>
    </row>
    <row r="343" spans="2:18" x14ac:dyDescent="0.25">
      <c r="B343" s="47" t="str">
        <f>Fluxo_de_Caixa_Janeiro[[#This Row],[Fluxo de Caixa 2026 CTR]]</f>
        <v>1.4 - BANCO DA AMAZONIA 071730-7 MATRIZ</v>
      </c>
      <c r="C343" s="35"/>
      <c r="D343" s="62"/>
      <c r="E343" s="62"/>
      <c r="F343" s="62">
        <f>Fluxo_de_Caixa_Janeiro345[[#This Row],[ABRIL]]</f>
        <v>5306.88</v>
      </c>
      <c r="G343" s="62">
        <f>Fluxo_de_Caixa_Janeiro3459[[#This Row],[MAIO]]</f>
        <v>2192.0700000000002</v>
      </c>
      <c r="H343" s="62">
        <f>Fluxo_de_Caixa_Janeiro345911[[#This Row],[JUNHO]]</f>
        <v>0</v>
      </c>
      <c r="I343" s="35"/>
      <c r="J343" s="62"/>
      <c r="K343" s="62"/>
      <c r="L343" s="62"/>
      <c r="M343" s="62"/>
      <c r="N343" s="119"/>
      <c r="O343" s="243">
        <f>Fluxo_de_Caixa_Janeiro3102013[[#This Row],[Junho]]</f>
        <v>0</v>
      </c>
      <c r="P343" s="138" t="str">
        <f t="shared" si="15"/>
        <v>0,00%</v>
      </c>
      <c r="Q343" s="78"/>
      <c r="R343" s="34"/>
    </row>
    <row r="344" spans="2:18" x14ac:dyDescent="0.25">
      <c r="B344" s="47" t="str">
        <f>Fluxo_de_Caixa_Janeiro[[#This Row],[Fluxo de Caixa 2026 CTR]]</f>
        <v>1.4.1.INVESTIMENTO CDBORE RCP TXFL</v>
      </c>
      <c r="C344" s="35"/>
      <c r="D344" s="62"/>
      <c r="E344" s="62"/>
      <c r="F344" s="62">
        <f>Fluxo_de_Caixa_Janeiro345[[#This Row],[ABRIL]]</f>
        <v>74541.539999999994</v>
      </c>
      <c r="G344" s="62">
        <f>Fluxo_de_Caixa_Janeiro3459[[#This Row],[MAIO]]</f>
        <v>75309.53</v>
      </c>
      <c r="H344" s="62">
        <f>Fluxo_de_Caixa_Janeiro345911[[#This Row],[JUNHO]]</f>
        <v>0</v>
      </c>
      <c r="I344" s="35"/>
      <c r="J344" s="62"/>
      <c r="K344" s="62"/>
      <c r="L344" s="62"/>
      <c r="M344" s="62"/>
      <c r="N344" s="119"/>
      <c r="O344" s="243">
        <f>Fluxo_de_Caixa_Janeiro3102013[[#This Row],[Junho]]</f>
        <v>0</v>
      </c>
      <c r="P344" s="138" t="str">
        <f t="shared" si="15"/>
        <v>0,00%</v>
      </c>
      <c r="Q344" s="78"/>
      <c r="R344" s="34"/>
    </row>
    <row r="345" spans="2:18" x14ac:dyDescent="0.25">
      <c r="B345" s="47" t="str">
        <f>Fluxo_de_Caixa_Janeiro[[#This Row],[Fluxo de Caixa 2026 CTR]]</f>
        <v>1.5 -  ITAU C.C.98671-6 MATRIZ</v>
      </c>
      <c r="C345" s="35"/>
      <c r="D345" s="62"/>
      <c r="E345" s="62"/>
      <c r="F345" s="62">
        <f>Fluxo_de_Caixa_Janeiro345[[#This Row],[ABRIL]]</f>
        <v>367595.19</v>
      </c>
      <c r="G345" s="62">
        <f>Fluxo_de_Caixa_Janeiro3459[[#This Row],[MAIO]]</f>
        <v>456792.42</v>
      </c>
      <c r="H345" s="62">
        <f>Fluxo_de_Caixa_Janeiro345911[[#This Row],[JUNHO]]</f>
        <v>0</v>
      </c>
      <c r="I345" s="35"/>
      <c r="J345" s="62"/>
      <c r="K345" s="62"/>
      <c r="L345" s="62"/>
      <c r="M345" s="62"/>
      <c r="N345" s="119"/>
      <c r="O345" s="244">
        <f>Fluxo_de_Caixa_Janeiro3102013[[#This Row],[Dezembro]]</f>
        <v>0</v>
      </c>
      <c r="P345" s="138" t="str">
        <f t="shared" si="15"/>
        <v>0,00%</v>
      </c>
      <c r="Q345" s="78"/>
      <c r="R345" s="34"/>
    </row>
    <row r="346" spans="2:18" x14ac:dyDescent="0.25">
      <c r="B346" s="47" t="str">
        <f>Fluxo_de_Caixa_Janeiro[[#This Row],[Fluxo de Caixa 2026 CTR]]</f>
        <v>1.5.03. ITAU C.C 83290-2 GARANTIDA</v>
      </c>
      <c r="C346" s="35"/>
      <c r="D346" s="62"/>
      <c r="E346" s="62"/>
      <c r="F346" s="62">
        <f>Fluxo_de_Caixa_Janeiro345[[#This Row],[ABRIL]]</f>
        <v>0</v>
      </c>
      <c r="G346" s="62">
        <f>Fluxo_de_Caixa_Janeiro3459[[#This Row],[MAIO]]</f>
        <v>0</v>
      </c>
      <c r="H346" s="62">
        <f>Fluxo_de_Caixa_Janeiro345911[[#This Row],[JUNHO]]</f>
        <v>0</v>
      </c>
      <c r="I346" s="35"/>
      <c r="J346" s="62"/>
      <c r="K346" s="62"/>
      <c r="L346" s="62"/>
      <c r="M346" s="62"/>
      <c r="N346" s="119"/>
      <c r="O346" s="244">
        <f>Fluxo_de_Caixa_Janeiro3102013[[#This Row],[Dezembro]]</f>
        <v>0</v>
      </c>
      <c r="P346" s="138" t="str">
        <f t="shared" si="15"/>
        <v>0,00%</v>
      </c>
      <c r="Q346" s="78"/>
      <c r="R346" s="34"/>
    </row>
    <row r="347" spans="2:18" x14ac:dyDescent="0.25">
      <c r="B347" s="47" t="str">
        <f>Fluxo_de_Caixa_Janeiro[[#This Row],[Fluxo de Caixa 2026 CTR]]</f>
        <v>1.9 - CONTA PERDA/ROUBO/BONIFICAÇÃO E DOAÇÃO</v>
      </c>
      <c r="C347" s="35"/>
      <c r="D347" s="62"/>
      <c r="E347" s="62"/>
      <c r="F347" s="62">
        <f>Fluxo_de_Caixa_Janeiro345[[#This Row],[ABRIL]]</f>
        <v>-20953.13</v>
      </c>
      <c r="G347" s="62">
        <f>Fluxo_de_Caixa_Janeiro3459[[#This Row],[MAIO]]</f>
        <v>-25255.51</v>
      </c>
      <c r="H347" s="62">
        <f>Fluxo_de_Caixa_Janeiro345911[[#This Row],[JUNHO]]</f>
        <v>0</v>
      </c>
      <c r="I347" s="35"/>
      <c r="J347" s="62"/>
      <c r="K347" s="62"/>
      <c r="L347" s="62"/>
      <c r="M347" s="62"/>
      <c r="N347" s="119"/>
      <c r="O347" s="244">
        <f>Fluxo_de_Caixa_Janeiro3102013[[#This Row],[Dezembro]]</f>
        <v>0</v>
      </c>
      <c r="P347" s="138" t="str">
        <f t="shared" si="15"/>
        <v>0,00%</v>
      </c>
      <c r="Q347" s="78"/>
    </row>
    <row r="348" spans="2:18" x14ac:dyDescent="0.25">
      <c r="B348" s="47">
        <f>Fluxo_de_Caixa_Janeiro[[#This Row],[Fluxo de Caixa 2026 CTR]]</f>
        <v>0</v>
      </c>
      <c r="C348" s="35"/>
      <c r="D348" s="62"/>
      <c r="E348" s="62"/>
      <c r="F348" s="62">
        <f>Fluxo_de_Caixa_Janeiro345[[#This Row],[ABRIL]]</f>
        <v>0</v>
      </c>
      <c r="G348" s="62">
        <f>Fluxo_de_Caixa_Janeiro3459[[#This Row],[MAIO]]</f>
        <v>0</v>
      </c>
      <c r="H348" s="62">
        <f>Fluxo_de_Caixa_Janeiro345911[[#This Row],[JUNHO]]</f>
        <v>0</v>
      </c>
      <c r="I348" s="35"/>
      <c r="J348" s="62"/>
      <c r="K348" s="62"/>
      <c r="L348" s="62"/>
      <c r="M348" s="62"/>
      <c r="N348" s="119"/>
      <c r="O348" s="244">
        <f>Fluxo_de_Caixa_Janeiro3102013[[#This Row],[Dezembro]]</f>
        <v>0</v>
      </c>
      <c r="P348" s="138" t="str">
        <f t="shared" si="15"/>
        <v>0,00%</v>
      </c>
      <c r="Q348" s="78"/>
    </row>
    <row r="349" spans="2:18" x14ac:dyDescent="0.25">
      <c r="B349" s="47" t="str">
        <f>Fluxo_de_Caixa_Janeiro[[#This Row],[Fluxo de Caixa 2026 CTR]]</f>
        <v>2.1 - BANCO DO BRASIL C.C.60638-3 FILIAL PALMAS</v>
      </c>
      <c r="C349" s="35"/>
      <c r="D349" s="62"/>
      <c r="E349" s="62"/>
      <c r="F349" s="62">
        <f>Fluxo_de_Caixa_Janeiro345[[#This Row],[ABRIL]]</f>
        <v>62169.13</v>
      </c>
      <c r="G349" s="62">
        <f>Fluxo_de_Caixa_Janeiro3459[[#This Row],[MAIO]]</f>
        <v>87184.33</v>
      </c>
      <c r="H349" s="62">
        <f>Fluxo_de_Caixa_Janeiro345911[[#This Row],[JUNHO]]</f>
        <v>0</v>
      </c>
      <c r="I349" s="35"/>
      <c r="J349" s="62"/>
      <c r="K349" s="62"/>
      <c r="L349" s="62"/>
      <c r="M349" s="62"/>
      <c r="N349" s="119"/>
      <c r="O349" s="244">
        <f>Fluxo_de_Caixa_Janeiro3102013[[#This Row],[Dezembro]]</f>
        <v>0</v>
      </c>
      <c r="P349" s="138" t="str">
        <f t="shared" si="15"/>
        <v>0,00%</v>
      </c>
      <c r="Q349" s="78"/>
    </row>
    <row r="350" spans="2:18" x14ac:dyDescent="0.25">
      <c r="B350" s="47">
        <f>Fluxo_de_Caixa_Janeiro[[#This Row],[Fluxo de Caixa 2026 CTR]]</f>
        <v>0</v>
      </c>
      <c r="C350" s="35"/>
      <c r="D350" s="62"/>
      <c r="E350" s="62"/>
      <c r="F350" s="62">
        <f>Fluxo_de_Caixa_Janeiro345[[#This Row],[ABRIL]]</f>
        <v>0</v>
      </c>
      <c r="G350" s="62">
        <f>Fluxo_de_Caixa_Janeiro3459[[#This Row],[MAIO]]</f>
        <v>0</v>
      </c>
      <c r="H350" s="62">
        <f>Fluxo_de_Caixa_Janeiro345911[[#This Row],[JUNHO]]</f>
        <v>0</v>
      </c>
      <c r="I350" s="35"/>
      <c r="J350" s="62"/>
      <c r="K350" s="62"/>
      <c r="L350" s="62"/>
      <c r="M350" s="62"/>
      <c r="N350" s="119"/>
      <c r="O350" s="244">
        <f>Fluxo_de_Caixa_Janeiro3102013[[#This Row],[Dezembro]]</f>
        <v>0</v>
      </c>
      <c r="P350" s="138" t="str">
        <f t="shared" ref="P350:P360" si="16">IFERROR(O350/$O$336,"0,00%")</f>
        <v>0,00%</v>
      </c>
      <c r="Q350" s="78"/>
    </row>
    <row r="351" spans="2:18" x14ac:dyDescent="0.25">
      <c r="B351" s="47">
        <f>Fluxo_de_Caixa_Janeiro[[#This Row],[Fluxo de Caixa 2026 CTR]]</f>
        <v>0</v>
      </c>
      <c r="C351" s="35"/>
      <c r="D351" s="62"/>
      <c r="E351" s="62"/>
      <c r="F351" s="62">
        <f>Fluxo_de_Caixa_Janeiro345[[#This Row],[ABRIL]]</f>
        <v>0</v>
      </c>
      <c r="G351" s="62">
        <f>Fluxo_de_Caixa_Janeiro3459[[#This Row],[MAIO]]</f>
        <v>0</v>
      </c>
      <c r="H351" s="62">
        <f>Fluxo_de_Caixa_Janeiro345911[[#This Row],[JUNHO]]</f>
        <v>0</v>
      </c>
      <c r="I351" s="35"/>
      <c r="J351" s="62"/>
      <c r="K351" s="62"/>
      <c r="L351" s="62"/>
      <c r="M351" s="62"/>
      <c r="N351" s="119"/>
      <c r="O351" s="244">
        <f>Fluxo_de_Caixa_Janeiro3102013[[#This Row],[Dezembro]]</f>
        <v>0</v>
      </c>
      <c r="P351" s="138" t="str">
        <f t="shared" si="16"/>
        <v>0,00%</v>
      </c>
      <c r="Q351" s="78"/>
    </row>
    <row r="352" spans="2:18" x14ac:dyDescent="0.25">
      <c r="B352" s="47" t="str">
        <f>Fluxo_de_Caixa_Janeiro[[#This Row],[Fluxo de Caixa 2026 CTR]]</f>
        <v>2.4 - ITAU C.C.98669-0 FILIAL PALMAS</v>
      </c>
      <c r="C352" s="35"/>
      <c r="D352" s="62"/>
      <c r="E352" s="62"/>
      <c r="F352" s="62">
        <f>Fluxo_de_Caixa_Janeiro345[[#This Row],[ABRIL]]</f>
        <v>37.729999999999997</v>
      </c>
      <c r="G352" s="62">
        <f>Fluxo_de_Caixa_Janeiro3459[[#This Row],[MAIO]]</f>
        <v>37.729999999999997</v>
      </c>
      <c r="H352" s="62">
        <f>Fluxo_de_Caixa_Janeiro345911[[#This Row],[JUNHO]]</f>
        <v>0</v>
      </c>
      <c r="I352" s="35"/>
      <c r="J352" s="62"/>
      <c r="K352" s="62"/>
      <c r="L352" s="62"/>
      <c r="M352" s="62"/>
      <c r="N352" s="119"/>
      <c r="O352" s="244">
        <f>Fluxo_de_Caixa_Janeiro3102013[[#This Row],[Dezembro]]</f>
        <v>0</v>
      </c>
      <c r="P352" s="138" t="str">
        <f t="shared" si="16"/>
        <v>0,00%</v>
      </c>
      <c r="Q352" s="78"/>
    </row>
    <row r="353" spans="2:17" x14ac:dyDescent="0.25">
      <c r="B353" s="47" t="str">
        <f>Fluxo_de_Caixa_Janeiro[[#This Row],[Fluxo de Caixa 2026 CTR]]</f>
        <v>2.9 - CONTA PERDA/ROUBO E BONIFICAÇÃO FILIAL</v>
      </c>
      <c r="C353" s="35"/>
      <c r="D353" s="62"/>
      <c r="E353" s="62"/>
      <c r="F353" s="62">
        <f>Fluxo_de_Caixa_Janeiro345[[#This Row],[ABRIL]]</f>
        <v>-8367.5</v>
      </c>
      <c r="G353" s="62">
        <f>Fluxo_de_Caixa_Janeiro3459[[#This Row],[MAIO]]</f>
        <v>-8367.5</v>
      </c>
      <c r="H353" s="62">
        <f>Fluxo_de_Caixa_Janeiro345911[[#This Row],[JUNHO]]</f>
        <v>0</v>
      </c>
      <c r="I353" s="35"/>
      <c r="J353" s="62"/>
      <c r="K353" s="62"/>
      <c r="L353" s="62"/>
      <c r="M353" s="62"/>
      <c r="N353" s="119"/>
      <c r="O353" s="244">
        <f>Fluxo_de_Caixa_Janeiro3102013[[#This Row],[Dezembro]]</f>
        <v>0</v>
      </c>
      <c r="P353" s="138" t="str">
        <f t="shared" si="16"/>
        <v>0,00%</v>
      </c>
      <c r="Q353" s="78"/>
    </row>
    <row r="354" spans="2:17" x14ac:dyDescent="0.25">
      <c r="B354" s="47" t="str">
        <f>Fluxo_de_Caixa_Janeiro[[#This Row],[Fluxo de Caixa 2026 CTR]]</f>
        <v>4.0 - TESOURARIA FILIAL PORTO</v>
      </c>
      <c r="C354" s="35"/>
      <c r="D354" s="62"/>
      <c r="E354" s="62"/>
      <c r="F354" s="62">
        <f>Fluxo_de_Caixa_Janeiro345[[#This Row],[ABRIL]]</f>
        <v>372.39</v>
      </c>
      <c r="G354" s="62">
        <f>Fluxo_de_Caixa_Janeiro3459[[#This Row],[MAIO]]</f>
        <v>1465.27</v>
      </c>
      <c r="H354" s="62">
        <f>Fluxo_de_Caixa_Janeiro345911[[#This Row],[JUNHO]]</f>
        <v>0</v>
      </c>
      <c r="I354" s="35"/>
      <c r="J354" s="62"/>
      <c r="K354" s="62"/>
      <c r="L354" s="62"/>
      <c r="M354" s="62"/>
      <c r="N354" s="119"/>
      <c r="O354" s="244">
        <f>Fluxo_de_Caixa_Janeiro3102013[[#This Row],[Dezembro]]</f>
        <v>0</v>
      </c>
      <c r="P354" s="138" t="str">
        <f t="shared" si="16"/>
        <v>0,00%</v>
      </c>
      <c r="Q354" s="78"/>
    </row>
    <row r="355" spans="2:17" x14ac:dyDescent="0.25">
      <c r="B355" s="47" t="str">
        <f>Fluxo_de_Caixa_Janeiro[[#This Row],[Fluxo de Caixa 2026 CTR]]</f>
        <v>4.1 -  BANCO DO BRASIL C.C.61105-0 FILIAL PORTO</v>
      </c>
      <c r="C355" s="35"/>
      <c r="D355" s="62"/>
      <c r="E355" s="62"/>
      <c r="F355" s="62">
        <f>Fluxo_de_Caixa_Janeiro345[[#This Row],[ABRIL]]</f>
        <v>308.02999999999997</v>
      </c>
      <c r="G355" s="62">
        <f>Fluxo_de_Caixa_Janeiro3459[[#This Row],[MAIO]]</f>
        <v>242.15</v>
      </c>
      <c r="H355" s="62">
        <f>Fluxo_de_Caixa_Janeiro345911[[#This Row],[JUNHO]]</f>
        <v>0</v>
      </c>
      <c r="I355" s="35"/>
      <c r="J355" s="62"/>
      <c r="K355" s="62"/>
      <c r="L355" s="62"/>
      <c r="M355" s="62"/>
      <c r="N355" s="119"/>
      <c r="O355" s="244">
        <f>Fluxo_de_Caixa_Janeiro3102013[[#This Row],[Dezembro]]</f>
        <v>0</v>
      </c>
      <c r="P355" s="138" t="str">
        <f t="shared" si="16"/>
        <v>0,00%</v>
      </c>
      <c r="Q355" s="78"/>
    </row>
    <row r="356" spans="2:17" x14ac:dyDescent="0.25">
      <c r="B356" s="47">
        <f>Fluxo_de_Caixa_Janeiro[[#This Row],[Fluxo de Caixa 2026 CTR]]</f>
        <v>0</v>
      </c>
      <c r="C356" s="35"/>
      <c r="D356" s="62"/>
      <c r="E356" s="62"/>
      <c r="F356" s="62">
        <f>Fluxo_de_Caixa_Janeiro345[[#This Row],[ABRIL]]</f>
        <v>0</v>
      </c>
      <c r="G356" s="62">
        <f>Fluxo_de_Caixa_Janeiro3459[[#This Row],[MAIO]]</f>
        <v>0</v>
      </c>
      <c r="H356" s="62">
        <f>Fluxo_de_Caixa_Janeiro345911[[#This Row],[JUNHO]]</f>
        <v>0</v>
      </c>
      <c r="I356" s="35"/>
      <c r="J356" s="62"/>
      <c r="K356" s="62"/>
      <c r="L356" s="62"/>
      <c r="M356" s="62"/>
      <c r="N356" s="119"/>
      <c r="O356" s="244">
        <f>Fluxo_de_Caixa_Janeiro3102013[[#This Row],[Dezembro]]</f>
        <v>0</v>
      </c>
      <c r="P356" s="138" t="str">
        <f t="shared" si="16"/>
        <v>0,00%</v>
      </c>
      <c r="Q356" s="78"/>
    </row>
    <row r="357" spans="2:17" x14ac:dyDescent="0.25">
      <c r="B357" s="47" t="str">
        <f>Fluxo_de_Caixa_Janeiro[[#This Row],[Fluxo de Caixa 2026 CTR]]</f>
        <v>4.4 - MERCADO PAGO PIX FILIAL PORTO</v>
      </c>
      <c r="C357" s="35"/>
      <c r="D357" s="62"/>
      <c r="E357" s="62"/>
      <c r="F357" s="62">
        <f>Fluxo_de_Caixa_Janeiro345[[#This Row],[ABRIL]]</f>
        <v>6468.92</v>
      </c>
      <c r="G357" s="62">
        <f>Fluxo_de_Caixa_Janeiro3459[[#This Row],[MAIO]]</f>
        <v>1811.61</v>
      </c>
      <c r="H357" s="62">
        <f>Fluxo_de_Caixa_Janeiro345911[[#This Row],[JUNHO]]</f>
        <v>0</v>
      </c>
      <c r="I357" s="35"/>
      <c r="J357" s="62"/>
      <c r="K357" s="62"/>
      <c r="L357" s="62"/>
      <c r="M357" s="62"/>
      <c r="N357" s="119"/>
      <c r="O357" s="244">
        <f>Fluxo_de_Caixa_Janeiro3102013[[#This Row],[Dezembro]]</f>
        <v>0</v>
      </c>
      <c r="P357" s="138" t="str">
        <f t="shared" si="16"/>
        <v>0,00%</v>
      </c>
      <c r="Q357" s="78"/>
    </row>
    <row r="358" spans="2:17" x14ac:dyDescent="0.25">
      <c r="B358" s="47" t="str">
        <f>Fluxo_de_Caixa_Janeiro[[#This Row],[Fluxo de Caixa 2026 CTR]]</f>
        <v>4.9 - CONTA PERDA/ROUBO E BONIFICAÇÃO FILIAL</v>
      </c>
      <c r="C358" s="35"/>
      <c r="D358" s="62"/>
      <c r="E358" s="62"/>
      <c r="F358" s="62">
        <f>Fluxo_de_Caixa_Janeiro345[[#This Row],[ABRIL]]</f>
        <v>-29071.86</v>
      </c>
      <c r="G358" s="62">
        <f>Fluxo_de_Caixa_Janeiro3459[[#This Row],[MAIO]]</f>
        <v>-29071.86</v>
      </c>
      <c r="H358" s="62">
        <f>Fluxo_de_Caixa_Janeiro345911[[#This Row],[JUNHO]]</f>
        <v>0</v>
      </c>
      <c r="I358" s="35"/>
      <c r="J358" s="62"/>
      <c r="K358" s="62"/>
      <c r="L358" s="62"/>
      <c r="M358" s="62"/>
      <c r="N358" s="119"/>
      <c r="O358" s="244">
        <f>Fluxo_de_Caixa_Janeiro3102013[[#This Row],[Dezembro]]</f>
        <v>0</v>
      </c>
      <c r="P358" s="138" t="str">
        <f t="shared" si="16"/>
        <v>0,00%</v>
      </c>
      <c r="Q358" s="78"/>
    </row>
    <row r="359" spans="2:17" x14ac:dyDescent="0.25">
      <c r="B359" s="47" t="str">
        <f>Fluxo_de_Caixa_Janeiro[[#This Row],[Fluxo de Caixa 2026 CTR]]</f>
        <v>91.CARTÃO ENDERED 5099+4596+6933+8072 - ESCRITORIO</v>
      </c>
      <c r="C359" s="35"/>
      <c r="D359" s="62"/>
      <c r="E359" s="62"/>
      <c r="F359" s="62">
        <f>Fluxo_de_Caixa_Janeiro345[[#This Row],[ABRIL]]</f>
        <v>3055.0099999999998</v>
      </c>
      <c r="G359" s="62">
        <f>Fluxo_de_Caixa_Janeiro3459[[#This Row],[MAIO]]</f>
        <v>4162.5600000000004</v>
      </c>
      <c r="H359" s="62">
        <f>Fluxo_de_Caixa_Janeiro345911[[#This Row],[JUNHO]]</f>
        <v>0</v>
      </c>
      <c r="I359" s="35"/>
      <c r="J359" s="62"/>
      <c r="K359" s="62"/>
      <c r="L359" s="62"/>
      <c r="M359" s="62"/>
      <c r="N359" s="119"/>
      <c r="O359" s="244">
        <f>Fluxo_de_Caixa_Janeiro3102013[[#This Row],[Dezembro]]</f>
        <v>0</v>
      </c>
      <c r="P359" s="138" t="str">
        <f t="shared" si="16"/>
        <v>0,00%</v>
      </c>
      <c r="Q359" s="78"/>
    </row>
    <row r="360" spans="2:17" ht="15.75" thickBot="1" x14ac:dyDescent="0.3">
      <c r="B360" s="47">
        <f>Fluxo_de_Caixa_Janeiro[[#This Row],[Fluxo de Caixa 2026 CTR]]</f>
        <v>0</v>
      </c>
      <c r="C360" s="35"/>
      <c r="D360" s="62"/>
      <c r="E360" s="62"/>
      <c r="F360" s="62">
        <f>Fluxo_de_Caixa_Janeiro345[[#This Row],[ABRIL]]</f>
        <v>0</v>
      </c>
      <c r="G360" s="62">
        <f>Fluxo_de_Caixa_Janeiro3459[[#This Row],[MAIO]]</f>
        <v>0</v>
      </c>
      <c r="H360" s="62">
        <f>Fluxo_de_Caixa_Janeiro345911[[#This Row],[JUNHO]]</f>
        <v>0</v>
      </c>
      <c r="I360" s="35"/>
      <c r="J360" s="62"/>
      <c r="K360" s="62"/>
      <c r="L360" s="62"/>
      <c r="M360" s="62"/>
      <c r="N360" s="119"/>
      <c r="O360" s="244">
        <f>Fluxo_de_Caixa_Janeiro3102013[[#This Row],[Dezembro]]</f>
        <v>0</v>
      </c>
      <c r="P360" s="138" t="str">
        <f t="shared" si="16"/>
        <v>0,00%</v>
      </c>
      <c r="Q360" s="78"/>
    </row>
    <row r="361" spans="2:17" ht="24" thickBot="1" x14ac:dyDescent="0.4">
      <c r="B361" s="176"/>
      <c r="C361" s="164"/>
      <c r="D361" s="116"/>
      <c r="E361" s="116"/>
      <c r="F361" s="116">
        <f>Fluxo_de_Caixa_Janeiro345[[#This Row],[ABRIL]]</f>
        <v>250.32000000018161</v>
      </c>
      <c r="G361" s="116">
        <f>Fluxo_de_Caixa_Janeiro3459[[#This Row],[MAIO]]</f>
        <v>-99.700000000069849</v>
      </c>
      <c r="H361" s="116">
        <f>Fluxo_de_Caixa_Janeiro345911[[#This Row],[JUNHO]]</f>
        <v>-730895.57000000007</v>
      </c>
      <c r="I361" s="164"/>
      <c r="J361" s="116"/>
      <c r="K361" s="116"/>
      <c r="L361" s="116"/>
      <c r="M361" s="116"/>
      <c r="N361" s="136"/>
      <c r="O361" s="245">
        <f>O336-O335</f>
        <v>-732974.75</v>
      </c>
      <c r="P361" s="255" t="str">
        <f t="shared" si="15"/>
        <v>0,00%</v>
      </c>
      <c r="Q361" s="117"/>
    </row>
    <row r="362" spans="2:17" x14ac:dyDescent="0.25"/>
    <row r="363" spans="2:17" x14ac:dyDescent="0.25"/>
    <row r="364" spans="2:17" x14ac:dyDescent="0.25"/>
    <row r="365" spans="2:17" x14ac:dyDescent="0.25"/>
    <row r="366" spans="2:17" x14ac:dyDescent="0.25"/>
    <row r="367" spans="2:17" x14ac:dyDescent="0.25"/>
    <row r="368" spans="2:17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</sheetData>
  <protectedRanges>
    <protectedRange sqref="O345:O360" name="Saldo Final de Banco"/>
    <protectedRange sqref="O326:O329 O311:O314 O276:O293" name="Despesas nao operacionais"/>
    <protectedRange sqref="O249:O255 O241:O247 O257:O260 O262:O271" name="Receita nao opercional"/>
    <protectedRange sqref="O14:O26" name="Bancos"/>
    <protectedRange sqref="O51 O29:O47" name="Total Receitas Operacionais  Vendas"/>
    <protectedRange sqref="O61:O63 O71:O72 O55:O59 O78:O84 O65:O69" name="Despesas Custo Aquisicao"/>
    <protectedRange sqref="O3:O13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44" name="Saldo Final de Banco_1"/>
    <protectedRange sqref="O89:O95" name="Despesas Operacionais_9"/>
    <protectedRange sqref="C344:H360" name="Saldo Final de Banco_2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43" name="Saldo Final de Banco_1_1"/>
    <protectedRange sqref="C89:H95" name="Despesas Operacionais_9_1"/>
    <protectedRange sqref="I344:N360" name="Saldo Final de Banco_4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5:N59 I78:N84 I65:N69" name="Despesas Custo Aquisicao_6"/>
    <protectedRange sqref="I3:N13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43" name="Saldo Final de Banco_1_3"/>
    <protectedRange sqref="I89:N95" name="Despesas Operacionais_9_3"/>
  </protectedRanges>
  <conditionalFormatting sqref="C86:H86">
    <cfRule type="cellIs" dxfId="488" priority="11" operator="lessThan">
      <formula>0</formula>
    </cfRule>
  </conditionalFormatting>
  <conditionalFormatting sqref="C237:H237 C334:H334">
    <cfRule type="cellIs" dxfId="487" priority="17" operator="lessThan">
      <formula>0</formula>
    </cfRule>
    <cfRule type="cellIs" dxfId="486" priority="18" operator="greaterThan">
      <formula>0</formula>
    </cfRule>
  </conditionalFormatting>
  <conditionalFormatting sqref="C237:H237">
    <cfRule type="cellIs" dxfId="485" priority="14" operator="greaterThan">
      <formula>0</formula>
    </cfRule>
  </conditionalFormatting>
  <conditionalFormatting sqref="C335:H335">
    <cfRule type="cellIs" dxfId="484" priority="12" operator="lessThan">
      <formula>0</formula>
    </cfRule>
    <cfRule type="cellIs" dxfId="483" priority="13" operator="greaterThan">
      <formula>0.001</formula>
    </cfRule>
    <cfRule type="cellIs" dxfId="482" priority="15" operator="lessThan">
      <formula>0</formula>
    </cfRule>
    <cfRule type="cellIs" dxfId="481" priority="16" operator="greaterThan">
      <formula>0</formula>
    </cfRule>
    <cfRule type="aboveAverage" dxfId="480" priority="20" aboveAverage="0"/>
  </conditionalFormatting>
  <conditionalFormatting sqref="I86:N86">
    <cfRule type="cellIs" dxfId="479" priority="1" operator="lessThan">
      <formula>0</formula>
    </cfRule>
  </conditionalFormatting>
  <conditionalFormatting sqref="I237:N237 I334:N334">
    <cfRule type="cellIs" dxfId="478" priority="8" operator="greaterThan">
      <formula>0</formula>
    </cfRule>
    <cfRule type="cellIs" dxfId="477" priority="7" operator="lessThan">
      <formula>0</formula>
    </cfRule>
  </conditionalFormatting>
  <conditionalFormatting sqref="I237:N237">
    <cfRule type="cellIs" dxfId="476" priority="4" operator="greaterThan">
      <formula>0</formula>
    </cfRule>
  </conditionalFormatting>
  <conditionalFormatting sqref="I335:N335">
    <cfRule type="cellIs" dxfId="475" priority="2" operator="lessThan">
      <formula>0</formula>
    </cfRule>
    <cfRule type="cellIs" dxfId="474" priority="3" operator="greaterThan">
      <formula>0.001</formula>
    </cfRule>
    <cfRule type="cellIs" dxfId="473" priority="5" operator="lessThan">
      <formula>0</formula>
    </cfRule>
    <cfRule type="cellIs" dxfId="472" priority="6" operator="greaterThan">
      <formula>0</formula>
    </cfRule>
    <cfRule type="aboveAverage" dxfId="471" priority="10" aboveAverage="0"/>
  </conditionalFormatting>
  <conditionalFormatting sqref="O86">
    <cfRule type="cellIs" dxfId="470" priority="21" operator="lessThan">
      <formula>0</formula>
    </cfRule>
  </conditionalFormatting>
  <conditionalFormatting sqref="O237 O334">
    <cfRule type="cellIs" dxfId="469" priority="29" operator="greaterThan">
      <formula>0</formula>
    </cfRule>
  </conditionalFormatting>
  <conditionalFormatting sqref="O237">
    <cfRule type="cellIs" dxfId="468" priority="23" operator="greaterThan">
      <formula>0</formula>
    </cfRule>
    <cfRule type="cellIs" dxfId="467" priority="24" operator="lessThan">
      <formula>0</formula>
    </cfRule>
  </conditionalFormatting>
  <conditionalFormatting sqref="O334">
    <cfRule type="cellIs" dxfId="466" priority="28" operator="lessThan">
      <formula>0</formula>
    </cfRule>
  </conditionalFormatting>
  <conditionalFormatting sqref="O335">
    <cfRule type="cellIs" dxfId="465" priority="26" operator="lessThan">
      <formula>0</formula>
    </cfRule>
    <cfRule type="cellIs" dxfId="464" priority="27" operator="greaterThan">
      <formula>0</formula>
    </cfRule>
    <cfRule type="cellIs" dxfId="463" priority="22" operator="greaterThan">
      <formula>0</formula>
    </cfRule>
    <cfRule type="aboveAverage" dxfId="462" priority="31" aboveAverage="0"/>
  </conditionalFormatting>
  <conditionalFormatting sqref="P86">
    <cfRule type="cellIs" dxfId="461" priority="43" operator="lessThan">
      <formula>0</formula>
    </cfRule>
  </conditionalFormatting>
  <conditionalFormatting sqref="P237 P334">
    <cfRule type="cellIs" dxfId="460" priority="51" operator="greaterThan">
      <formula>0</formula>
    </cfRule>
  </conditionalFormatting>
  <conditionalFormatting sqref="P237">
    <cfRule type="cellIs" dxfId="459" priority="45" operator="greaterThan">
      <formula>0</formula>
    </cfRule>
    <cfRule type="cellIs" dxfId="458" priority="46" operator="lessThan">
      <formula>0</formula>
    </cfRule>
  </conditionalFormatting>
  <conditionalFormatting sqref="P334">
    <cfRule type="cellIs" dxfId="457" priority="50" operator="lessThan">
      <formula>0</formula>
    </cfRule>
  </conditionalFormatting>
  <conditionalFormatting sqref="P335">
    <cfRule type="cellIs" dxfId="456" priority="44" operator="greaterThan">
      <formula>0</formula>
    </cfRule>
    <cfRule type="cellIs" dxfId="455" priority="48" operator="lessThan">
      <formula>0</formula>
    </cfRule>
    <cfRule type="cellIs" dxfId="454" priority="49" operator="greaterThan">
      <formula>0</formula>
    </cfRule>
    <cfRule type="aboveAverage" dxfId="453" priority="53" aboveAverage="0"/>
  </conditionalFormatting>
  <conditionalFormatting sqref="Q86">
    <cfRule type="cellIs" dxfId="452" priority="32" operator="lessThan">
      <formula>0</formula>
    </cfRule>
  </conditionalFormatting>
  <conditionalFormatting sqref="Q237 Q334">
    <cfRule type="cellIs" dxfId="451" priority="40" operator="greaterThan">
      <formula>0</formula>
    </cfRule>
  </conditionalFormatting>
  <conditionalFormatting sqref="Q237">
    <cfRule type="cellIs" dxfId="450" priority="34" operator="greaterThan">
      <formula>0</formula>
    </cfRule>
    <cfRule type="cellIs" dxfId="449" priority="35" operator="lessThan">
      <formula>0</formula>
    </cfRule>
  </conditionalFormatting>
  <conditionalFormatting sqref="Q334">
    <cfRule type="cellIs" dxfId="448" priority="39" operator="lessThan">
      <formula>0</formula>
    </cfRule>
  </conditionalFormatting>
  <conditionalFormatting sqref="Q335">
    <cfRule type="cellIs" dxfId="447" priority="33" operator="greaterThan">
      <formula>0</formula>
    </cfRule>
    <cfRule type="cellIs" dxfId="446" priority="37" operator="lessThan">
      <formula>0</formula>
    </cfRule>
    <cfRule type="cellIs" dxfId="445" priority="38" operator="greaterThan">
      <formula>0</formula>
    </cfRule>
    <cfRule type="aboveAverage" dxfId="444" priority="42" aboveAverage="0"/>
  </conditionalFormatting>
  <conditionalFormatting sqref="R27:R335">
    <cfRule type="iconSet" priority="54">
      <iconSet iconSet="3Arrows">
        <cfvo type="percent" val="0"/>
        <cfvo type="percent" val="$R$27&lt;=0"/>
        <cfvo type="percent" val="$R$27&gt;=0"/>
      </iconSet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43" priority="56" operator="containsText" text="FALSO">
      <formula>NOT(ISERROR(SEARCH("FALSO",R27)))</formula>
    </cfRule>
    <cfRule type="containsText" dxfId="442" priority="57" operator="containsText" text="VERDADEIRO">
      <formula>NOT(ISERROR(SEARCH("VERDADEIRO",R27)))</formula>
    </cfRule>
    <cfRule type="iconSet" priority="58">
      <iconSet iconSet="3Arrows">
        <cfvo type="percent" val="0"/>
        <cfvo type="percent" val="0"/>
        <cfvo type="percent" val="0"/>
      </iconSet>
    </cfRule>
    <cfRule type="iconSet" priority="59">
      <iconSet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9" scale="44" orientation="landscape" r:id="rId1"/>
  <rowBreaks count="2" manualBreakCount="2">
    <brk id="86" max="16383" man="1"/>
    <brk id="237" min="1" max="19" man="1"/>
  </row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autoPageBreaks="0" fitToPage="1"/>
  </sheetPr>
  <dimension ref="A1:XFD424"/>
  <sheetViews>
    <sheetView zoomScaleNormal="100" zoomScaleSheetLayoutView="100" workbookViewId="0">
      <pane xSplit="2" ySplit="1" topLeftCell="F36" activePane="bottomRight" state="frozen"/>
      <selection pane="topRight" activeCell="B1" sqref="B1"/>
      <selection pane="bottomLeft" activeCell="A2" sqref="A2"/>
      <selection pane="bottomRight" activeCell="G65" sqref="G65"/>
    </sheetView>
  </sheetViews>
  <sheetFormatPr defaultColWidth="13.85546875" defaultRowHeight="15" zeroHeight="1" x14ac:dyDescent="0.25"/>
  <cols>
    <col min="1" max="1" width="9.140625" hidden="1" customWidth="1"/>
    <col min="2" max="2" width="43.42578125" customWidth="1"/>
    <col min="3" max="3" width="27.42578125" bestFit="1" customWidth="1"/>
    <col min="4" max="8" width="27.42578125" customWidth="1"/>
    <col min="9" max="14" width="27.42578125" hidden="1" customWidth="1"/>
    <col min="15" max="15" width="30.5703125" style="246" customWidth="1"/>
    <col min="16" max="16" width="14.85546875" style="6" customWidth="1"/>
    <col min="17" max="17" width="13.85546875" style="9" customWidth="1"/>
    <col min="18" max="18" width="11.7109375" style="33" hidden="1" customWidth="1"/>
    <col min="19" max="19" width="14.28515625" bestFit="1" customWidth="1"/>
    <col min="20" max="20" width="31.85546875" customWidth="1"/>
    <col min="21" max="21" width="14.28515625" customWidth="1"/>
    <col min="22" max="22" width="22.28515625" customWidth="1"/>
    <col min="23" max="23" width="20.140625" customWidth="1"/>
    <col min="24" max="24" width="24.7109375" customWidth="1"/>
    <col min="16384" max="16384" width="13.85546875" customWidth="1"/>
  </cols>
  <sheetData>
    <row r="1" spans="1:21" ht="40.5" customHeight="1" thickBot="1" x14ac:dyDescent="0.3">
      <c r="B1" s="639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643" t="s">
        <v>307</v>
      </c>
      <c r="Q1" s="643" t="s">
        <v>324</v>
      </c>
      <c r="R1" s="30"/>
      <c r="T1" s="653" t="s">
        <v>66</v>
      </c>
      <c r="U1" s="668" t="s">
        <v>324</v>
      </c>
    </row>
    <row r="2" spans="1:21" s="1" customFormat="1" ht="24" thickBot="1" x14ac:dyDescent="0.4">
      <c r="A2" s="10" t="s">
        <v>52</v>
      </c>
      <c r="B2" s="46" t="str">
        <f>Fluxo_de_Caixa_Janeiro[[#This Row],[Fluxo de Caixa 2026 CTR]]</f>
        <v>Disponíveis Nas Contas Movimento inicial</v>
      </c>
      <c r="C2" s="156">
        <f>Fluxo_de_Caixa_Janeiro[[#This Row],[Janeiro]]</f>
        <v>67410.42</v>
      </c>
      <c r="D2" s="156">
        <f>Fluxo_de_Caixa_Janeiro3[[#This Row],[Fevereiro]]</f>
        <v>31847.63</v>
      </c>
      <c r="E2" s="156">
        <f>Fluxo_de_Caixa_Janeiro34[[#This Row],[Março]]</f>
        <v>8957.5900000000074</v>
      </c>
      <c r="F2" s="156">
        <f>Fluxo_de_Caixa_Janeiro345[[#This Row],[ABRIL]]</f>
        <v>437595.5799999999</v>
      </c>
      <c r="G2" s="156">
        <f>Fluxo_de_Caixa_Janeiro3459[[#This Row],[MAIO]]</f>
        <v>515135.91000000003</v>
      </c>
      <c r="H2" s="154">
        <f>Fluxo_de_Caixa_Janeiro345911[[#This Row],[JUNHO]]</f>
        <v>730895.57000000007</v>
      </c>
      <c r="I2" s="156"/>
      <c r="J2" s="156"/>
      <c r="K2" s="156"/>
      <c r="L2" s="156"/>
      <c r="M2" s="156"/>
      <c r="N2" s="154"/>
      <c r="O2" s="207">
        <f>Fluxo_de_Caixa_Janeiro310208[[#This Row],[Janeiro]]</f>
        <v>67410.42</v>
      </c>
      <c r="P2" s="17">
        <f>SUM(P3:P26)</f>
        <v>1</v>
      </c>
      <c r="Q2" s="65"/>
      <c r="R2" s="31"/>
      <c r="T2" s="497">
        <v>192641.1</v>
      </c>
      <c r="U2" s="572">
        <v>0.99999999999999989</v>
      </c>
    </row>
    <row r="3" spans="1:21" x14ac:dyDescent="0.25">
      <c r="B3" s="47" t="str">
        <f>Fluxo_de_Caixa_Janeiro[[#This Row],[Fluxo de Caixa 2026 CTR]]</f>
        <v>1.0 - TESOURARIA MATRIZ PALMAS</v>
      </c>
      <c r="C3" s="259">
        <f>Fluxo_de_Caixa_Janeiro[[#This Row],[Janeiro]]</f>
        <v>148.53</v>
      </c>
      <c r="D3" s="260">
        <f>Fluxo_de_Caixa_Janeiro3[[#This Row],[Fevereiro]]</f>
        <v>40.53</v>
      </c>
      <c r="E3" s="260">
        <f>Fluxo_de_Caixa_Janeiro34[[#This Row],[Março]]</f>
        <v>337.58</v>
      </c>
      <c r="F3" s="260">
        <f>Fluxo_de_Caixa_Janeiro345[[#This Row],[ABRIL]]</f>
        <v>850.58</v>
      </c>
      <c r="G3" s="260">
        <f>Fluxo_de_Caixa_Janeiro3459[[#This Row],[MAIO]]</f>
        <v>421.79</v>
      </c>
      <c r="H3" s="261">
        <f>Fluxo_de_Caixa_Janeiro345911[[#This Row],[JUNHO]]</f>
        <v>595.79</v>
      </c>
      <c r="I3" s="298"/>
      <c r="J3" s="260"/>
      <c r="K3" s="260"/>
      <c r="L3" s="260"/>
      <c r="M3" s="260"/>
      <c r="N3" s="261"/>
      <c r="O3" s="208">
        <f>Fluxo_de_Caixa_Janeiro310208[[#This Row],[Janeiro]]</f>
        <v>148.53</v>
      </c>
      <c r="P3" s="28">
        <f t="shared" ref="P3:P16" si="0">IF(O3=0,"0,00%",O3/$O$2)</f>
        <v>2.2033685593414194E-3</v>
      </c>
      <c r="Q3" s="66"/>
      <c r="R3" s="31"/>
      <c r="T3" s="498">
        <v>375.53</v>
      </c>
      <c r="U3" s="573">
        <v>1.9493763272738786E-3</v>
      </c>
    </row>
    <row r="4" spans="1:21" x14ac:dyDescent="0.25">
      <c r="B4" s="47" t="str">
        <f>Fluxo_de_Caixa_Janeiro[[#This Row],[Fluxo de Caixa 2026 CTR]]</f>
        <v>1.1 - BANCO DO BRASIL C.C.60409-7 MATRIZ</v>
      </c>
      <c r="C4" s="256">
        <f>Fluxo_de_Caixa_Janeiro[[#This Row],[Janeiro]]</f>
        <v>15268.12</v>
      </c>
      <c r="D4" s="262">
        <f>Fluxo_de_Caixa_Janeiro3[[#This Row],[Fevereiro]]</f>
        <v>108.85</v>
      </c>
      <c r="E4" s="262">
        <f>Fluxo_de_Caixa_Janeiro34[[#This Row],[Março]]</f>
        <v>55.77</v>
      </c>
      <c r="F4" s="262">
        <f>Fluxo_de_Caixa_Janeiro345[[#This Row],[ABRIL]]</f>
        <v>36651.07</v>
      </c>
      <c r="G4" s="262">
        <f>Fluxo_de_Caixa_Janeiro3459[[#This Row],[MAIO]]</f>
        <v>52517.95</v>
      </c>
      <c r="H4" s="263">
        <f>Fluxo_de_Caixa_Janeiro345911[[#This Row],[JUNHO]]</f>
        <v>137058.82</v>
      </c>
      <c r="I4" s="262"/>
      <c r="J4" s="262"/>
      <c r="K4" s="262"/>
      <c r="L4" s="262"/>
      <c r="M4" s="262"/>
      <c r="N4" s="263"/>
      <c r="O4" s="208">
        <f>Fluxo_de_Caixa_Janeiro310208[[#This Row],[Janeiro]]</f>
        <v>15268.12</v>
      </c>
      <c r="P4" s="138">
        <f t="shared" si="0"/>
        <v>0.22649495434088679</v>
      </c>
      <c r="Q4" s="66"/>
      <c r="R4" s="31"/>
      <c r="T4" s="498">
        <v>0</v>
      </c>
      <c r="U4" s="574" t="s">
        <v>240</v>
      </c>
    </row>
    <row r="5" spans="1:21" hidden="1" x14ac:dyDescent="0.25">
      <c r="B5" s="47">
        <f>Fluxo_de_Caixa_Janeiro[[#This Row],[Fluxo de Caixa 2026 CTR]]</f>
        <v>0</v>
      </c>
      <c r="C5" s="256">
        <f>Fluxo_de_Caixa_Janeiro[[#This Row],[Janeiro]]</f>
        <v>0</v>
      </c>
      <c r="D5" s="262">
        <f>Fluxo_de_Caixa_Janeiro3[[#This Row],[Fevereiro]]</f>
        <v>0</v>
      </c>
      <c r="E5" s="262">
        <f>Fluxo_de_Caixa_Janeiro34[[#This Row],[Março]]</f>
        <v>0</v>
      </c>
      <c r="F5" s="262">
        <f>Fluxo_de_Caixa_Janeiro345[[#This Row],[ABRIL]]</f>
        <v>0</v>
      </c>
      <c r="G5" s="262">
        <f>Fluxo_de_Caixa_Janeiro3459[[#This Row],[MAIO]]</f>
        <v>0</v>
      </c>
      <c r="H5" s="263">
        <f>Fluxo_de_Caixa_Janeiro345911[[#This Row],[JUNHO]]</f>
        <v>0</v>
      </c>
      <c r="I5" s="262"/>
      <c r="J5" s="262"/>
      <c r="K5" s="262"/>
      <c r="L5" s="262"/>
      <c r="M5" s="262"/>
      <c r="N5" s="263"/>
      <c r="O5" s="208">
        <f>Fluxo_de_Caixa_Janeiro310208[[#This Row],[Janeiro]]</f>
        <v>0</v>
      </c>
      <c r="P5" s="138" t="str">
        <f t="shared" si="0"/>
        <v>0,00%</v>
      </c>
      <c r="Q5" s="66"/>
      <c r="R5" s="31"/>
      <c r="T5" s="498">
        <v>0</v>
      </c>
      <c r="U5" s="574" t="s">
        <v>240</v>
      </c>
    </row>
    <row r="6" spans="1:21" x14ac:dyDescent="0.25">
      <c r="B6" s="47" t="str">
        <f>Fluxo_de_Caixa_Janeiro[[#This Row],[Fluxo de Caixa 2026 CTR]]</f>
        <v>1.2-BRADESCO 15232-3 MATRIZ</v>
      </c>
      <c r="C6" s="256">
        <f>Fluxo_de_Caixa_Janeiro[[#This Row],[Janeiro]]</f>
        <v>8.6199999999999992</v>
      </c>
      <c r="D6" s="262">
        <f>Fluxo_de_Caixa_Janeiro3[[#This Row],[Fevereiro]]</f>
        <v>3332.91</v>
      </c>
      <c r="E6" s="262">
        <f>Fluxo_de_Caixa_Janeiro34[[#This Row],[Março]]</f>
        <v>25.97</v>
      </c>
      <c r="F6" s="262">
        <f>Fluxo_de_Caixa_Janeiro345[[#This Row],[ABRIL]]</f>
        <v>6785.01</v>
      </c>
      <c r="G6" s="262">
        <f>Fluxo_de_Caixa_Janeiro3459[[#This Row],[MAIO]]</f>
        <v>733.84</v>
      </c>
      <c r="H6" s="263">
        <f>Fluxo_de_Caixa_Janeiro345911[[#This Row],[JUNHO]]</f>
        <v>28967.96</v>
      </c>
      <c r="I6" s="262"/>
      <c r="J6" s="262"/>
      <c r="K6" s="262"/>
      <c r="L6" s="262"/>
      <c r="M6" s="262"/>
      <c r="N6" s="263"/>
      <c r="O6" s="208">
        <f>Fluxo_de_Caixa_Janeiro310208[[#This Row],[Janeiro]]</f>
        <v>8.6199999999999992</v>
      </c>
      <c r="P6" s="138">
        <f t="shared" si="0"/>
        <v>1.2787340592151775E-4</v>
      </c>
      <c r="Q6" s="66"/>
      <c r="R6" s="31"/>
      <c r="T6" s="498">
        <v>134596.85999999999</v>
      </c>
      <c r="U6" s="574">
        <v>0.69869233512474738</v>
      </c>
    </row>
    <row r="7" spans="1:21" hidden="1" x14ac:dyDescent="0.25">
      <c r="B7" s="47">
        <f>Fluxo_de_Caixa_Janeiro[[#This Row],[Fluxo de Caixa 2026 CTR]]</f>
        <v>0</v>
      </c>
      <c r="C7" s="256">
        <f>Fluxo_de_Caixa_Janeiro[[#This Row],[Janeiro]]</f>
        <v>0</v>
      </c>
      <c r="D7" s="262">
        <f>Fluxo_de_Caixa_Janeiro3[[#This Row],[Fevereiro]]</f>
        <v>0</v>
      </c>
      <c r="E7" s="262">
        <f>Fluxo_de_Caixa_Janeiro34[[#This Row],[Março]]</f>
        <v>0</v>
      </c>
      <c r="F7" s="262">
        <f>Fluxo_de_Caixa_Janeiro345[[#This Row],[ABRIL]]</f>
        <v>0</v>
      </c>
      <c r="G7" s="262">
        <f>Fluxo_de_Caixa_Janeiro3459[[#This Row],[MAIO]]</f>
        <v>0</v>
      </c>
      <c r="H7" s="263">
        <f>Fluxo_de_Caixa_Janeiro345911[[#This Row],[JUNHO]]</f>
        <v>0</v>
      </c>
      <c r="I7" s="262"/>
      <c r="J7" s="262"/>
      <c r="K7" s="262"/>
      <c r="L7" s="262"/>
      <c r="M7" s="262"/>
      <c r="N7" s="263"/>
      <c r="O7" s="208">
        <f>Fluxo_de_Caixa_Janeiro310208[[#This Row],[Janeiro]]</f>
        <v>0</v>
      </c>
      <c r="P7" s="138" t="str">
        <f t="shared" si="0"/>
        <v>0,00%</v>
      </c>
      <c r="Q7" s="66"/>
      <c r="R7" s="31"/>
      <c r="T7" s="498">
        <v>0</v>
      </c>
      <c r="U7" s="574" t="s">
        <v>240</v>
      </c>
    </row>
    <row r="8" spans="1:21" x14ac:dyDescent="0.25">
      <c r="B8" s="47" t="str">
        <f>Fluxo_de_Caixa_Janeiro[[#This Row],[Fluxo de Caixa 2026 CTR]]</f>
        <v>1.3 - BANCO STONE MATRIZ C.C 40256726-7</v>
      </c>
      <c r="C8" s="256">
        <f>Fluxo_de_Caixa_Janeiro[[#This Row],[Janeiro]]</f>
        <v>0</v>
      </c>
      <c r="D8" s="262">
        <f>Fluxo_de_Caixa_Janeiro3[[#This Row],[Fevereiro]]</f>
        <v>2671</v>
      </c>
      <c r="E8" s="262">
        <f>Fluxo_de_Caixa_Janeiro34[[#This Row],[Março]]</f>
        <v>0</v>
      </c>
      <c r="F8" s="262">
        <f>Fluxo_de_Caixa_Janeiro345[[#This Row],[ABRIL]]</f>
        <v>0</v>
      </c>
      <c r="G8" s="262">
        <f>Fluxo_de_Caixa_Janeiro3459[[#This Row],[MAIO]]</f>
        <v>0</v>
      </c>
      <c r="H8" s="263">
        <f>Fluxo_de_Caixa_Janeiro345911[[#This Row],[JUNHO]]</f>
        <v>0</v>
      </c>
      <c r="I8" s="262"/>
      <c r="J8" s="262"/>
      <c r="K8" s="262"/>
      <c r="L8" s="262"/>
      <c r="M8" s="262"/>
      <c r="N8" s="263"/>
      <c r="O8" s="208">
        <f>Fluxo_de_Caixa_Janeiro310208[[#This Row],[Janeiro]]</f>
        <v>0</v>
      </c>
      <c r="P8" s="138" t="str">
        <f t="shared" si="0"/>
        <v>0,00%</v>
      </c>
      <c r="Q8" s="66"/>
      <c r="R8" s="31"/>
      <c r="T8" s="498">
        <v>26517.91</v>
      </c>
      <c r="U8" s="574">
        <v>0.13765447767895844</v>
      </c>
    </row>
    <row r="9" spans="1:21" hidden="1" x14ac:dyDescent="0.25">
      <c r="B9" s="47" t="str">
        <f>Fluxo_de_Caixa_Janeiro[[#This Row],[Fluxo de Caixa 2026 CTR]]</f>
        <v>1.4 - BANCO DA AMAZONIA 071730-7 MATRIZ</v>
      </c>
      <c r="C9" s="256">
        <f>Fluxo_de_Caixa_Janeiro[[#This Row],[Janeiro]]</f>
        <v>124.56</v>
      </c>
      <c r="D9" s="262">
        <f>Fluxo_de_Caixa_Janeiro3[[#This Row],[Fevereiro]]</f>
        <v>281.77999999999997</v>
      </c>
      <c r="E9" s="262">
        <f>Fluxo_de_Caixa_Janeiro34[[#This Row],[Março]]</f>
        <v>1900.51</v>
      </c>
      <c r="F9" s="262">
        <f>Fluxo_de_Caixa_Janeiro345[[#This Row],[ABRIL]]</f>
        <v>304243.92</v>
      </c>
      <c r="G9" s="262">
        <f>Fluxo_de_Caixa_Janeiro3459[[#This Row],[MAIO]]</f>
        <v>5306.88</v>
      </c>
      <c r="H9" s="263">
        <f>Fluxo_de_Caixa_Janeiro345911[[#This Row],[JUNHO]]</f>
        <v>2192.0700000000002</v>
      </c>
      <c r="I9" s="262"/>
      <c r="J9" s="262"/>
      <c r="K9" s="262"/>
      <c r="L9" s="262"/>
      <c r="M9" s="262"/>
      <c r="N9" s="263"/>
      <c r="O9" s="208">
        <f>Fluxo_de_Caixa_Janeiro310208[[#This Row],[Janeiro]]</f>
        <v>124.56</v>
      </c>
      <c r="P9" s="138">
        <f t="shared" si="0"/>
        <v>1.8477855500677789E-3</v>
      </c>
      <c r="Q9" s="66"/>
      <c r="R9" s="31"/>
      <c r="T9" s="498">
        <v>0</v>
      </c>
      <c r="U9" s="574" t="s">
        <v>240</v>
      </c>
    </row>
    <row r="10" spans="1:21" x14ac:dyDescent="0.25">
      <c r="B10" s="47" t="str">
        <f>Fluxo_de_Caixa_Janeiro[[#This Row],[Fluxo de Caixa 2026 CTR]]</f>
        <v>1.4.1.INVESTIMENTO CDBORE RCP TXFL</v>
      </c>
      <c r="C10" s="256">
        <f>Fluxo_de_Caixa_Janeiro[[#This Row],[Janeiro]]</f>
        <v>0</v>
      </c>
      <c r="D10" s="262">
        <f>Fluxo_de_Caixa_Janeiro3[[#This Row],[Fevereiro]]</f>
        <v>0</v>
      </c>
      <c r="E10" s="262">
        <f>Fluxo_de_Caixa_Janeiro34[[#This Row],[Março]]</f>
        <v>0</v>
      </c>
      <c r="F10" s="262">
        <f>Fluxo_de_Caixa_Janeiro345[[#This Row],[ABRIL]]</f>
        <v>0</v>
      </c>
      <c r="G10" s="262">
        <f>Fluxo_de_Caixa_Janeiro3459[[#This Row],[MAIO]]</f>
        <v>74541.539999999994</v>
      </c>
      <c r="H10" s="263">
        <f>Fluxo_de_Caixa_Janeiro345911[[#This Row],[JUNHO]]</f>
        <v>75309.53</v>
      </c>
      <c r="I10" s="262"/>
      <c r="J10" s="262"/>
      <c r="K10" s="262"/>
      <c r="L10" s="262"/>
      <c r="M10" s="262"/>
      <c r="N10" s="263"/>
      <c r="O10" s="208">
        <f>Fluxo_de_Caixa_Janeiro310208[[#This Row],[Janeiro]]</f>
        <v>0</v>
      </c>
      <c r="P10" s="138" t="str">
        <f t="shared" si="0"/>
        <v>0,00%</v>
      </c>
      <c r="Q10" s="66"/>
      <c r="R10" s="31"/>
      <c r="T10" s="498">
        <v>5717.64</v>
      </c>
      <c r="U10" s="574">
        <v>2.968027072104551E-2</v>
      </c>
    </row>
    <row r="11" spans="1:21" x14ac:dyDescent="0.25">
      <c r="B11" s="47" t="str">
        <f>Fluxo_de_Caixa_Janeiro[[#This Row],[Fluxo de Caixa 2026 CTR]]</f>
        <v>1.5 -  ITAU C.C.98671-6 MATRIZ</v>
      </c>
      <c r="C11" s="256">
        <f>Fluxo_de_Caixa_Janeiro[[#This Row],[Janeiro]]</f>
        <v>40443.69</v>
      </c>
      <c r="D11" s="262">
        <f>Fluxo_de_Caixa_Janeiro3[[#This Row],[Fevereiro]]</f>
        <v>18153.73</v>
      </c>
      <c r="E11" s="262">
        <f>Fluxo_de_Caixa_Janeiro34[[#This Row],[Março]]</f>
        <v>33831.300000000003</v>
      </c>
      <c r="F11" s="262">
        <f>Fluxo_de_Caixa_Janeiro345[[#This Row],[ABRIL]]</f>
        <v>95802.27</v>
      </c>
      <c r="G11" s="262">
        <f>Fluxo_de_Caixa_Janeiro3459[[#This Row],[MAIO]]</f>
        <v>367595.19</v>
      </c>
      <c r="H11" s="263">
        <f>Fluxo_de_Caixa_Janeiro345911[[#This Row],[JUNHO]]</f>
        <v>456792.42</v>
      </c>
      <c r="I11" s="262"/>
      <c r="J11" s="262"/>
      <c r="K11" s="262"/>
      <c r="L11" s="262"/>
      <c r="M11" s="262"/>
      <c r="N11" s="263"/>
      <c r="O11" s="208">
        <f>Fluxo_de_Caixa_Janeiro310208[[#This Row],[Janeiro]]</f>
        <v>40443.69</v>
      </c>
      <c r="P11" s="138">
        <f>IF(O11=0,"0,00%",O11/$O$2)</f>
        <v>0.59996199400626793</v>
      </c>
      <c r="Q11" s="66"/>
      <c r="R11" s="31"/>
      <c r="T11" s="498">
        <v>0</v>
      </c>
      <c r="U11" s="574" t="s">
        <v>240</v>
      </c>
    </row>
    <row r="12" spans="1:21" x14ac:dyDescent="0.25">
      <c r="B12" s="47" t="str">
        <f>Fluxo_de_Caixa_Janeiro[[#This Row],[Fluxo de Caixa 2026 CTR]]</f>
        <v>1.5.03. ITAU C.C 83290-2 GARANTIDA</v>
      </c>
      <c r="C12" s="256">
        <f>Fluxo_de_Caixa_Janeiro[[#This Row],[Janeiro]]</f>
        <v>902.73</v>
      </c>
      <c r="D12" s="262">
        <f>Fluxo_de_Caixa_Janeiro3[[#This Row],[Fevereiro]]</f>
        <v>1286.28</v>
      </c>
      <c r="E12" s="262">
        <f>Fluxo_de_Caixa_Janeiro34[[#This Row],[Março]]</f>
        <v>5399.76</v>
      </c>
      <c r="F12" s="262">
        <f>Fluxo_de_Caixa_Janeiro345[[#This Row],[ABRIL]]</f>
        <v>0</v>
      </c>
      <c r="G12" s="262">
        <f>Fluxo_de_Caixa_Janeiro3459[[#This Row],[MAIO]]</f>
        <v>0</v>
      </c>
      <c r="H12" s="263">
        <f>Fluxo_de_Caixa_Janeiro345911[[#This Row],[JUNHO]]</f>
        <v>0</v>
      </c>
      <c r="I12" s="262"/>
      <c r="J12" s="262"/>
      <c r="K12" s="262"/>
      <c r="L12" s="262"/>
      <c r="M12" s="262"/>
      <c r="N12" s="263"/>
      <c r="O12" s="208">
        <f>Fluxo_de_Caixa_Janeiro310208[[#This Row],[Janeiro]]</f>
        <v>902.73</v>
      </c>
      <c r="P12" s="138">
        <f t="shared" si="0"/>
        <v>1.3391549852381873E-2</v>
      </c>
      <c r="Q12" s="66"/>
      <c r="R12" s="31"/>
      <c r="T12" s="498">
        <v>0</v>
      </c>
      <c r="U12" s="574" t="s">
        <v>240</v>
      </c>
    </row>
    <row r="13" spans="1:21" x14ac:dyDescent="0.25">
      <c r="B13" s="47" t="str">
        <f>Fluxo_de_Caixa_Janeiro[[#This Row],[Fluxo de Caixa 2026 CTR]]</f>
        <v>1.9 - CONTA PERDA/ROUBO/BONIFICAÇÃO E DOAÇÃO</v>
      </c>
      <c r="C13" s="256">
        <f>Fluxo_de_Caixa_Janeiro[[#This Row],[Janeiro]]</f>
        <v>0</v>
      </c>
      <c r="D13" s="262">
        <f>Fluxo_de_Caixa_Janeiro3[[#This Row],[Fevereiro]]</f>
        <v>0</v>
      </c>
      <c r="E13" s="262">
        <f>Fluxo_de_Caixa_Janeiro34[[#This Row],[Março]]</f>
        <v>-20953.13</v>
      </c>
      <c r="F13" s="262">
        <f>Fluxo_de_Caixa_Janeiro345[[#This Row],[ABRIL]]</f>
        <v>-20953.13</v>
      </c>
      <c r="G13" s="262">
        <f>Fluxo_de_Caixa_Janeiro3459[[#This Row],[MAIO]]</f>
        <v>-20953.13</v>
      </c>
      <c r="H13" s="263">
        <f>Fluxo_de_Caixa_Janeiro345911[[#This Row],[JUNHO]]</f>
        <v>-25255.51</v>
      </c>
      <c r="I13" s="262"/>
      <c r="J13" s="262"/>
      <c r="K13" s="262"/>
      <c r="L13" s="262"/>
      <c r="M13" s="262"/>
      <c r="N13" s="263"/>
      <c r="O13" s="208">
        <f>Fluxo_de_Caixa_Janeiro310208[[#This Row],[Janeiro]]</f>
        <v>0</v>
      </c>
      <c r="P13" s="138" t="str">
        <f t="shared" si="0"/>
        <v>0,00%</v>
      </c>
      <c r="Q13" s="66"/>
      <c r="R13" s="31"/>
      <c r="T13" s="498">
        <v>-2553.0500000000002</v>
      </c>
      <c r="U13" s="574">
        <v>-1.3252883211318872E-2</v>
      </c>
    </row>
    <row r="14" spans="1:21" hidden="1" x14ac:dyDescent="0.25">
      <c r="B14" s="47">
        <f>Fluxo_de_Caixa_Janeiro[[#This Row],[Fluxo de Caixa 2026 CTR]]</f>
        <v>0</v>
      </c>
      <c r="C14" s="256">
        <f>Fluxo_de_Caixa_Janeiro[[#This Row],[Janeiro]]</f>
        <v>0</v>
      </c>
      <c r="D14" s="262">
        <f>Fluxo_de_Caixa_Janeiro3[[#This Row],[Fevereiro]]</f>
        <v>0</v>
      </c>
      <c r="E14" s="262">
        <f>Fluxo_de_Caixa_Janeiro34[[#This Row],[Março]]</f>
        <v>0</v>
      </c>
      <c r="F14" s="262">
        <f>Fluxo_de_Caixa_Janeiro345[[#This Row],[ABRIL]]</f>
        <v>0</v>
      </c>
      <c r="G14" s="262">
        <f>Fluxo_de_Caixa_Janeiro3459[[#This Row],[MAIO]]</f>
        <v>0</v>
      </c>
      <c r="H14" s="263">
        <f>Fluxo_de_Caixa_Janeiro345911[[#This Row],[JUNHO]]</f>
        <v>0</v>
      </c>
      <c r="I14" s="262"/>
      <c r="J14" s="262"/>
      <c r="K14" s="262"/>
      <c r="L14" s="262"/>
      <c r="M14" s="262"/>
      <c r="N14" s="263"/>
      <c r="O14" s="208">
        <f>Fluxo_de_Caixa_Janeiro310208[[#This Row],[Janeiro]]</f>
        <v>0</v>
      </c>
      <c r="P14" s="138" t="str">
        <f t="shared" si="0"/>
        <v>0,00%</v>
      </c>
      <c r="Q14" s="66"/>
      <c r="R14" s="31"/>
      <c r="T14" s="498">
        <v>158.24</v>
      </c>
      <c r="U14" s="574">
        <v>8.2142388098905173E-4</v>
      </c>
    </row>
    <row r="15" spans="1:21" x14ac:dyDescent="0.25">
      <c r="B15" s="47" t="str">
        <f>Fluxo_de_Caixa_Janeiro[[#This Row],[Fluxo de Caixa 2026 CTR]]</f>
        <v>2.1 - BANCO DO BRASIL C.C.60638-3 FILIAL PALMAS</v>
      </c>
      <c r="C15" s="256">
        <f>Fluxo_de_Caixa_Janeiro[[#This Row],[Janeiro]]</f>
        <v>1415.61</v>
      </c>
      <c r="D15" s="262">
        <f>Fluxo_de_Caixa_Janeiro3[[#This Row],[Fevereiro]]</f>
        <v>1829.48</v>
      </c>
      <c r="E15" s="262">
        <f>Fluxo_de_Caixa_Janeiro34[[#This Row],[Março]]</f>
        <v>65.56</v>
      </c>
      <c r="F15" s="262">
        <f>Fluxo_de_Caixa_Janeiro345[[#This Row],[ABRIL]]</f>
        <v>33375.699999999997</v>
      </c>
      <c r="G15" s="262">
        <f>Fluxo_de_Caixa_Janeiro3459[[#This Row],[MAIO]]</f>
        <v>62169.13</v>
      </c>
      <c r="H15" s="263">
        <f>Fluxo_de_Caixa_Janeiro345911[[#This Row],[JUNHO]]</f>
        <v>87184.33</v>
      </c>
      <c r="I15" s="262"/>
      <c r="J15" s="262"/>
      <c r="K15" s="262"/>
      <c r="L15" s="262"/>
      <c r="M15" s="262"/>
      <c r="N15" s="263"/>
      <c r="O15" s="208">
        <f>Fluxo_de_Caixa_Janeiro310208[[#This Row],[Janeiro]]</f>
        <v>1415.61</v>
      </c>
      <c r="P15" s="138">
        <f t="shared" si="0"/>
        <v>2.0999869159693707E-2</v>
      </c>
      <c r="Q15" s="66"/>
      <c r="R15" s="31"/>
      <c r="T15" s="498">
        <v>0</v>
      </c>
      <c r="U15" s="574" t="s">
        <v>240</v>
      </c>
    </row>
    <row r="16" spans="1:21" hidden="1" x14ac:dyDescent="0.25">
      <c r="B16" s="47">
        <f>Fluxo_de_Caixa_Janeiro[[#This Row],[Fluxo de Caixa 2026 CTR]]</f>
        <v>0</v>
      </c>
      <c r="C16" s="256">
        <f>Fluxo_de_Caixa_Janeiro[[#This Row],[Janeiro]]</f>
        <v>0</v>
      </c>
      <c r="D16" s="262">
        <f>Fluxo_de_Caixa_Janeiro3[[#This Row],[Fevereiro]]</f>
        <v>0</v>
      </c>
      <c r="E16" s="262">
        <f>Fluxo_de_Caixa_Janeiro34[[#This Row],[Março]]</f>
        <v>0</v>
      </c>
      <c r="F16" s="262">
        <f>Fluxo_de_Caixa_Janeiro345[[#This Row],[ABRIL]]</f>
        <v>0</v>
      </c>
      <c r="G16" s="262">
        <f>Fluxo_de_Caixa_Janeiro3459[[#This Row],[MAIO]]</f>
        <v>0</v>
      </c>
      <c r="H16" s="263">
        <f>Fluxo_de_Caixa_Janeiro345911[[#This Row],[JUNHO]]</f>
        <v>0</v>
      </c>
      <c r="I16" s="262"/>
      <c r="J16" s="262"/>
      <c r="K16" s="262"/>
      <c r="L16" s="262"/>
      <c r="M16" s="262"/>
      <c r="N16" s="263"/>
      <c r="O16" s="208">
        <f>Fluxo_de_Caixa_Janeiro310208[[#This Row],[Janeiro]]</f>
        <v>0</v>
      </c>
      <c r="P16" s="138" t="str">
        <f t="shared" si="0"/>
        <v>0,00%</v>
      </c>
      <c r="Q16" s="66"/>
      <c r="R16" s="31"/>
      <c r="T16" s="498">
        <v>-1.79</v>
      </c>
      <c r="U16" s="574">
        <v>-9.2918904636653348E-6</v>
      </c>
    </row>
    <row r="17" spans="1:23" hidden="1" x14ac:dyDescent="0.25">
      <c r="B17" s="47">
        <f>Fluxo_de_Caixa_Janeiro[[#This Row],[Fluxo de Caixa 2026 CTR]]</f>
        <v>0</v>
      </c>
      <c r="C17" s="256">
        <f>Fluxo_de_Caixa_Janeiro[[#This Row],[Janeiro]]</f>
        <v>0</v>
      </c>
      <c r="D17" s="262">
        <f>Fluxo_de_Caixa_Janeiro3[[#This Row],[Fevereiro]]</f>
        <v>0</v>
      </c>
      <c r="E17" s="262">
        <f>Fluxo_de_Caixa_Janeiro34[[#This Row],[Março]]</f>
        <v>0</v>
      </c>
      <c r="F17" s="262">
        <f>Fluxo_de_Caixa_Janeiro345[[#This Row],[ABRIL]]</f>
        <v>0</v>
      </c>
      <c r="G17" s="262">
        <f>Fluxo_de_Caixa_Janeiro3459[[#This Row],[MAIO]]</f>
        <v>0</v>
      </c>
      <c r="H17" s="263">
        <f>Fluxo_de_Caixa_Janeiro345911[[#This Row],[JUNHO]]</f>
        <v>0</v>
      </c>
      <c r="I17" s="262"/>
      <c r="J17" s="262"/>
      <c r="K17" s="262"/>
      <c r="L17" s="262"/>
      <c r="M17" s="262"/>
      <c r="N17" s="263"/>
      <c r="O17" s="208">
        <f>Fluxo_de_Caixa_Janeiro310208[[#This Row],[Janeiro]]</f>
        <v>0</v>
      </c>
      <c r="P17" s="138" t="str">
        <f t="shared" ref="P17:P26" si="1">IF(O17=0,"0,00%",O17/$O$2)</f>
        <v>0,00%</v>
      </c>
      <c r="Q17" s="66"/>
      <c r="R17" s="31"/>
      <c r="T17" s="498">
        <v>26883.69</v>
      </c>
      <c r="U17" s="574">
        <v>0.13955324175370676</v>
      </c>
    </row>
    <row r="18" spans="1:23" x14ac:dyDescent="0.25">
      <c r="B18" s="47" t="str">
        <f>Fluxo_de_Caixa_Janeiro[[#This Row],[Fluxo de Caixa 2026 CTR]]</f>
        <v>2.4 - ITAU C.C.98669-0 FILIAL PALMAS</v>
      </c>
      <c r="C18" s="256">
        <f>Fluxo_de_Caixa_Janeiro[[#This Row],[Janeiro]]</f>
        <v>536.72</v>
      </c>
      <c r="D18" s="262">
        <f>Fluxo_de_Caixa_Janeiro3[[#This Row],[Fevereiro]]</f>
        <v>536.72</v>
      </c>
      <c r="E18" s="262">
        <f>Fluxo_de_Caixa_Janeiro34[[#This Row],[Março]]</f>
        <v>37.729999999999997</v>
      </c>
      <c r="F18" s="262">
        <f>Fluxo_de_Caixa_Janeiro345[[#This Row],[ABRIL]]</f>
        <v>37.729999999999997</v>
      </c>
      <c r="G18" s="262">
        <f>Fluxo_de_Caixa_Janeiro3459[[#This Row],[MAIO]]</f>
        <v>37.729999999999997</v>
      </c>
      <c r="H18" s="263">
        <f>Fluxo_de_Caixa_Janeiro345911[[#This Row],[JUNHO]]</f>
        <v>37.729999999999997</v>
      </c>
      <c r="I18" s="262"/>
      <c r="J18" s="262"/>
      <c r="K18" s="262"/>
      <c r="L18" s="262"/>
      <c r="M18" s="262"/>
      <c r="N18" s="263"/>
      <c r="O18" s="208">
        <f>Fluxo_de_Caixa_Janeiro310208[[#This Row],[Janeiro]]</f>
        <v>536.72</v>
      </c>
      <c r="P18" s="138">
        <f t="shared" si="1"/>
        <v>7.961973831345363E-3</v>
      </c>
      <c r="Q18" s="66"/>
      <c r="R18" s="31"/>
      <c r="T18" s="498">
        <v>0</v>
      </c>
      <c r="U18" s="574" t="s">
        <v>240</v>
      </c>
    </row>
    <row r="19" spans="1:23" x14ac:dyDescent="0.25">
      <c r="B19" s="47" t="str">
        <f>Fluxo_de_Caixa_Janeiro[[#This Row],[Fluxo de Caixa 2026 CTR]]</f>
        <v>2.9 - CONTA PERDA/ROUBO E BONIFICAÇÃO FILIAL</v>
      </c>
      <c r="C19" s="256">
        <f>Fluxo_de_Caixa_Janeiro[[#This Row],[Janeiro]]</f>
        <v>0</v>
      </c>
      <c r="D19" s="262">
        <f>Fluxo_de_Caixa_Janeiro3[[#This Row],[Fevereiro]]</f>
        <v>-219.15</v>
      </c>
      <c r="E19" s="262">
        <f>Fluxo_de_Caixa_Janeiro34[[#This Row],[Março]]</f>
        <v>-8598.58</v>
      </c>
      <c r="F19" s="262">
        <f>Fluxo_de_Caixa_Janeiro345[[#This Row],[ABRIL]]</f>
        <v>-8598.58</v>
      </c>
      <c r="G19" s="262">
        <f>Fluxo_de_Caixa_Janeiro3459[[#This Row],[MAIO]]</f>
        <v>-8367.5</v>
      </c>
      <c r="H19" s="263">
        <f>Fluxo_de_Caixa_Janeiro345911[[#This Row],[JUNHO]]</f>
        <v>-8367.5</v>
      </c>
      <c r="I19" s="262"/>
      <c r="J19" s="262"/>
      <c r="K19" s="262"/>
      <c r="L19" s="262"/>
      <c r="M19" s="262"/>
      <c r="N19" s="263"/>
      <c r="O19" s="208">
        <f>Fluxo_de_Caixa_Janeiro310208[[#This Row],[Janeiro]]</f>
        <v>0</v>
      </c>
      <c r="P19" s="138" t="str">
        <f t="shared" si="1"/>
        <v>0,00%</v>
      </c>
      <c r="Q19" s="66"/>
      <c r="R19" s="31"/>
      <c r="T19" s="498">
        <v>946.07</v>
      </c>
      <c r="U19" s="574">
        <v>4.9110496150613758E-3</v>
      </c>
    </row>
    <row r="20" spans="1:23" x14ac:dyDescent="0.25">
      <c r="B20" s="47" t="str">
        <f>Fluxo_de_Caixa_Janeiro[[#This Row],[Fluxo de Caixa 2026 CTR]]</f>
        <v>4.0 - TESOURARIA FILIAL PORTO</v>
      </c>
      <c r="C20" s="256">
        <f>Fluxo_de_Caixa_Janeiro[[#This Row],[Janeiro]]</f>
        <v>1409.97</v>
      </c>
      <c r="D20" s="262">
        <f>Fluxo_de_Caixa_Janeiro3[[#This Row],[Fevereiro]]</f>
        <v>385.51</v>
      </c>
      <c r="E20" s="262">
        <f>Fluxo_de_Caixa_Janeiro34[[#This Row],[Março]]</f>
        <v>1327.43</v>
      </c>
      <c r="F20" s="262">
        <f>Fluxo_de_Caixa_Janeiro345[[#This Row],[ABRIL]]</f>
        <v>534.16</v>
      </c>
      <c r="G20" s="262">
        <f>Fluxo_de_Caixa_Janeiro3459[[#This Row],[MAIO]]</f>
        <v>372.39</v>
      </c>
      <c r="H20" s="263">
        <f>Fluxo_de_Caixa_Janeiro345911[[#This Row],[JUNHO]]</f>
        <v>1465.27</v>
      </c>
      <c r="I20" s="262"/>
      <c r="J20" s="262"/>
      <c r="K20" s="262"/>
      <c r="L20" s="262"/>
      <c r="M20" s="262"/>
      <c r="N20" s="263"/>
      <c r="O20" s="208">
        <f>Fluxo_de_Caixa_Janeiro310208[[#This Row],[Janeiro]]</f>
        <v>1409.97</v>
      </c>
      <c r="P20" s="138">
        <f t="shared" si="1"/>
        <v>2.0916202569276381E-2</v>
      </c>
      <c r="Q20" s="66"/>
      <c r="R20" s="31"/>
      <c r="T20" s="498">
        <v>0</v>
      </c>
      <c r="U20" s="574" t="s">
        <v>240</v>
      </c>
    </row>
    <row r="21" spans="1:23" x14ac:dyDescent="0.25">
      <c r="B21" s="47" t="str">
        <f>Fluxo_de_Caixa_Janeiro[[#This Row],[Fluxo de Caixa 2026 CTR]]</f>
        <v>4.1 -  BANCO DO BRASIL C.C.61105-0 FILIAL PORTO</v>
      </c>
      <c r="C21" s="256">
        <f>Fluxo_de_Caixa_Janeiro[[#This Row],[Janeiro]]</f>
        <v>57.34</v>
      </c>
      <c r="D21" s="262">
        <f>Fluxo_de_Caixa_Janeiro3[[#This Row],[Fevereiro]]</f>
        <v>16.829999999999998</v>
      </c>
      <c r="E21" s="262">
        <f>Fluxo_de_Caixa_Janeiro34[[#This Row],[Março]]</f>
        <v>111.93</v>
      </c>
      <c r="F21" s="262">
        <f>Fluxo_de_Caixa_Janeiro345[[#This Row],[ABRIL]]</f>
        <v>521.91999999999996</v>
      </c>
      <c r="G21" s="262">
        <f>Fluxo_de_Caixa_Janeiro3459[[#This Row],[MAIO]]</f>
        <v>308.02999999999997</v>
      </c>
      <c r="H21" s="263">
        <f>Fluxo_de_Caixa_Janeiro345911[[#This Row],[JUNHO]]</f>
        <v>242.15</v>
      </c>
      <c r="I21" s="262"/>
      <c r="J21" s="262"/>
      <c r="K21" s="262"/>
      <c r="L21" s="262"/>
      <c r="M21" s="262"/>
      <c r="N21" s="263"/>
      <c r="O21" s="208">
        <f>Fluxo_de_Caixa_Janeiro310208[[#This Row],[Janeiro]]</f>
        <v>57.34</v>
      </c>
      <c r="P21" s="138">
        <f t="shared" si="1"/>
        <v>8.5061033590949295E-4</v>
      </c>
      <c r="Q21" s="66"/>
      <c r="R21" s="31"/>
      <c r="T21" s="498">
        <v>0</v>
      </c>
      <c r="U21" s="574" t="s">
        <v>240</v>
      </c>
    </row>
    <row r="22" spans="1:23" hidden="1" x14ac:dyDescent="0.25">
      <c r="B22" s="47">
        <f>Fluxo_de_Caixa_Janeiro[[#This Row],[Fluxo de Caixa 2026 CTR]]</f>
        <v>0</v>
      </c>
      <c r="C22" s="256">
        <f>Fluxo_de_Caixa_Janeiro[[#This Row],[Janeiro]]</f>
        <v>0</v>
      </c>
      <c r="D22" s="262">
        <f>Fluxo_de_Caixa_Janeiro3[[#This Row],[Fevereiro]]</f>
        <v>0</v>
      </c>
      <c r="E22" s="262">
        <f>Fluxo_de_Caixa_Janeiro34[[#This Row],[Março]]</f>
        <v>0</v>
      </c>
      <c r="F22" s="262">
        <f>Fluxo_de_Caixa_Janeiro345[[#This Row],[ABRIL]]</f>
        <v>0</v>
      </c>
      <c r="G22" s="262">
        <f>Fluxo_de_Caixa_Janeiro3459[[#This Row],[MAIO]]</f>
        <v>0</v>
      </c>
      <c r="H22" s="263">
        <f>Fluxo_de_Caixa_Janeiro345911[[#This Row],[JUNHO]]</f>
        <v>0</v>
      </c>
      <c r="I22" s="262"/>
      <c r="J22" s="262"/>
      <c r="K22" s="262"/>
      <c r="L22" s="262"/>
      <c r="M22" s="262"/>
      <c r="N22" s="263"/>
      <c r="O22" s="208">
        <f>Fluxo_de_Caixa_Janeiro310208[[#This Row],[Janeiro]]</f>
        <v>0</v>
      </c>
      <c r="P22" s="138" t="str">
        <f t="shared" si="1"/>
        <v>0,00%</v>
      </c>
      <c r="Q22" s="66"/>
      <c r="R22" s="31"/>
      <c r="T22" s="498">
        <v>0</v>
      </c>
      <c r="U22" s="574" t="s">
        <v>240</v>
      </c>
    </row>
    <row r="23" spans="1:23" x14ac:dyDescent="0.25">
      <c r="B23" s="47" t="str">
        <f>Fluxo_de_Caixa_Janeiro[[#This Row],[Fluxo de Caixa 2026 CTR]]</f>
        <v>4.4 - MERCADO PAGO PIX FILIAL PORTO</v>
      </c>
      <c r="C23" s="256">
        <f>Fluxo_de_Caixa_Janeiro[[#This Row],[Janeiro]]</f>
        <v>5412.19</v>
      </c>
      <c r="D23" s="262">
        <f>Fluxo_de_Caixa_Janeiro3[[#This Row],[Fevereiro]]</f>
        <v>2060.42</v>
      </c>
      <c r="E23" s="262">
        <f>Fluxo_de_Caixa_Janeiro34[[#This Row],[Março]]</f>
        <v>22539.57</v>
      </c>
      <c r="F23" s="262">
        <f>Fluxo_de_Caixa_Janeiro345[[#This Row],[ABRIL]]</f>
        <v>13187.1</v>
      </c>
      <c r="G23" s="262">
        <f>Fluxo_de_Caixa_Janeiro3459[[#This Row],[MAIO]]</f>
        <v>6468.92</v>
      </c>
      <c r="H23" s="263">
        <f>Fluxo_de_Caixa_Janeiro345911[[#This Row],[JUNHO]]</f>
        <v>1811.61</v>
      </c>
      <c r="I23" s="262"/>
      <c r="J23" s="262"/>
      <c r="K23" s="262"/>
      <c r="L23" s="262"/>
      <c r="M23" s="262"/>
      <c r="N23" s="263"/>
      <c r="O23" s="208">
        <f>Fluxo_de_Caixa_Janeiro310208[[#This Row],[Janeiro]]</f>
        <v>5412.19</v>
      </c>
      <c r="P23" s="138">
        <f t="shared" si="1"/>
        <v>8.0287142551552115E-2</v>
      </c>
      <c r="Q23" s="66"/>
      <c r="R23" s="31"/>
      <c r="T23" s="498">
        <v>0</v>
      </c>
      <c r="U23" s="574" t="s">
        <v>240</v>
      </c>
    </row>
    <row r="24" spans="1:23" x14ac:dyDescent="0.25">
      <c r="B24" s="47" t="str">
        <f>Fluxo_de_Caixa_Janeiro[[#This Row],[Fluxo de Caixa 2026 CTR]]</f>
        <v>4.9 - CONTA PERDA/ROUBO E BONIFICAÇÃO FILIAL</v>
      </c>
      <c r="C24" s="256">
        <f>Fluxo_de_Caixa_Janeiro[[#This Row],[Janeiro]]</f>
        <v>0</v>
      </c>
      <c r="D24" s="262">
        <f>Fluxo_de_Caixa_Janeiro3[[#This Row],[Fevereiro]]</f>
        <v>0</v>
      </c>
      <c r="E24" s="262">
        <f>Fluxo_de_Caixa_Janeiro34[[#This Row],[Março]]</f>
        <v>-29071.86</v>
      </c>
      <c r="F24" s="262">
        <f>Fluxo_de_Caixa_Janeiro345[[#This Row],[ABRIL]]</f>
        <v>-29071.86</v>
      </c>
      <c r="G24" s="262">
        <f>Fluxo_de_Caixa_Janeiro3459[[#This Row],[MAIO]]</f>
        <v>-29071.86</v>
      </c>
      <c r="H24" s="263">
        <f>Fluxo_de_Caixa_Janeiro345911[[#This Row],[JUNHO]]</f>
        <v>-29071.86</v>
      </c>
      <c r="I24" s="262"/>
      <c r="J24" s="262"/>
      <c r="K24" s="262"/>
      <c r="L24" s="262"/>
      <c r="M24" s="262"/>
      <c r="N24" s="263"/>
      <c r="O24" s="208">
        <f>Fluxo_de_Caixa_Janeiro310208[[#This Row],[Janeiro]]</f>
        <v>0</v>
      </c>
      <c r="P24" s="138" t="str">
        <f t="shared" si="1"/>
        <v>0,00%</v>
      </c>
      <c r="Q24" s="66"/>
      <c r="R24" s="31"/>
      <c r="T24" s="498">
        <v>0</v>
      </c>
      <c r="U24" s="574" t="s">
        <v>240</v>
      </c>
    </row>
    <row r="25" spans="1:23" ht="15.75" thickBot="1" x14ac:dyDescent="0.3">
      <c r="B25" s="47" t="str">
        <f>Fluxo_de_Caixa_Janeiro[[#This Row],[Fluxo de Caixa 2026 CTR]]</f>
        <v>91.CARTÃO ENDERED 5099+4596+6933+8072 - ESCRITORIO</v>
      </c>
      <c r="C25" s="256">
        <f>Fluxo_de_Caixa_Janeiro[[#This Row],[Janeiro]]</f>
        <v>1682.34</v>
      </c>
      <c r="D25" s="262">
        <f>Fluxo_de_Caixa_Janeiro3[[#This Row],[Fevereiro]]</f>
        <v>1362.74</v>
      </c>
      <c r="E25" s="262">
        <f>Fluxo_de_Caixa_Janeiro34[[#This Row],[Março]]</f>
        <v>1948.05</v>
      </c>
      <c r="F25" s="262">
        <f>Fluxo_de_Caixa_Janeiro345[[#This Row],[ABRIL]]</f>
        <v>4229.6900000000005</v>
      </c>
      <c r="G25" s="262">
        <f>Fluxo_de_Caixa_Janeiro3459[[#This Row],[MAIO]]</f>
        <v>3055.0099999999998</v>
      </c>
      <c r="H25" s="263">
        <f>Fluxo_de_Caixa_Janeiro345911[[#This Row],[JUNHO]]</f>
        <v>4162.5600000000004</v>
      </c>
      <c r="I25" s="262"/>
      <c r="J25" s="262"/>
      <c r="K25" s="262"/>
      <c r="L25" s="262"/>
      <c r="M25" s="262"/>
      <c r="N25" s="263"/>
      <c r="O25" s="208">
        <f>Fluxo_de_Caixa_Janeiro310208[[#This Row],[Janeiro]]</f>
        <v>1682.34</v>
      </c>
      <c r="P25" s="138">
        <f t="shared" si="1"/>
        <v>2.4956675837355707E-2</v>
      </c>
      <c r="Q25" s="66"/>
      <c r="R25" s="31"/>
      <c r="T25" s="498">
        <v>0</v>
      </c>
      <c r="U25" s="574" t="s">
        <v>240</v>
      </c>
    </row>
    <row r="26" spans="1:23" ht="15.75" hidden="1" thickBot="1" x14ac:dyDescent="0.3">
      <c r="B26" s="47">
        <f>Fluxo_de_Caixa_Janeiro[[#This Row],[Fluxo de Caixa 2026 CTR]]</f>
        <v>0</v>
      </c>
      <c r="C26" s="256">
        <f>Fluxo_de_Caixa_Janeiro[[#This Row],[Janeiro]]</f>
        <v>0</v>
      </c>
      <c r="D26" s="262">
        <f>Fluxo_de_Caixa_Janeiro3[[#This Row],[Fevereiro]]</f>
        <v>-150.01000000001295</v>
      </c>
      <c r="E26" s="262">
        <f>Fluxo_de_Caixa_Janeiro34[[#This Row],[Março]]</f>
        <v>0</v>
      </c>
      <c r="F26" s="262">
        <f>Fluxo_de_Caixa_Janeiro345[[#This Row],[ABRIL]]</f>
        <v>220.65999999997439</v>
      </c>
      <c r="G26" s="262">
        <f>Fluxo_de_Caixa_Janeiro3459[[#This Row],[MAIO]]</f>
        <v>0</v>
      </c>
      <c r="H26" s="263">
        <f>Fluxo_de_Caixa_Janeiro345911[[#This Row],[JUNHO]]</f>
        <v>0</v>
      </c>
      <c r="I26" s="262"/>
      <c r="J26" s="262"/>
      <c r="K26" s="262"/>
      <c r="L26" s="262"/>
      <c r="M26" s="262"/>
      <c r="N26" s="263"/>
      <c r="O26" s="208">
        <f>Fluxo_de_Caixa_Janeiro310208[[#This Row],[Janeiro]]</f>
        <v>0</v>
      </c>
      <c r="P26" s="138" t="str">
        <f t="shared" si="1"/>
        <v>0,00%</v>
      </c>
      <c r="Q26" s="66"/>
      <c r="R26" s="31"/>
      <c r="T26" s="498">
        <v>0</v>
      </c>
      <c r="U26" s="574" t="s">
        <v>240</v>
      </c>
    </row>
    <row r="27" spans="1:23" ht="27" thickBot="1" x14ac:dyDescent="0.45">
      <c r="B27" s="266" t="str">
        <f>Fluxo_de_Caixa_Janeiro[[#This Row],[Fluxo de Caixa 2026 CTR]]</f>
        <v>Total Receitas Operacionais / Vendas</v>
      </c>
      <c r="C27" s="37">
        <f>Fluxo_de_Caixa_Janeiro[[#This Row],[Janeiro]]</f>
        <v>749632.92999999993</v>
      </c>
      <c r="D27" s="83">
        <f>Fluxo_de_Caixa_Janeiro3[[#This Row],[Fevereiro]]</f>
        <v>1038589.0900000001</v>
      </c>
      <c r="E27" s="83">
        <f>Fluxo_de_Caixa_Janeiro34[[#This Row],[Março]]</f>
        <v>1087749.99</v>
      </c>
      <c r="F27" s="83">
        <f>Fluxo_de_Caixa_Janeiro345[[#This Row],[ABRIL]]</f>
        <v>1009247</v>
      </c>
      <c r="G27" s="83">
        <f>Fluxo_de_Caixa_Janeiro3459[[#This Row],[MAIO]]</f>
        <v>749225.37</v>
      </c>
      <c r="H27" s="121">
        <f>Fluxo_de_Caixa_Janeiro345911[[#This Row],[JUNHO]]</f>
        <v>0</v>
      </c>
      <c r="I27" s="83"/>
      <c r="J27" s="83"/>
      <c r="K27" s="83"/>
      <c r="L27" s="83"/>
      <c r="M27" s="83"/>
      <c r="N27" s="121"/>
      <c r="O27" s="211">
        <f>SUM(Fluxo_de_Caixa_Janeiro310208[[#This Row],[Janeiro]:[Dezembro]])</f>
        <v>4634444.38</v>
      </c>
      <c r="P27" s="198">
        <f>IFERROR(O27/O332,"0,00%")</f>
        <v>0.84753576362215444</v>
      </c>
      <c r="Q27" s="18">
        <v>0.90408941332414738</v>
      </c>
      <c r="R27" s="32" t="str">
        <f>IF(Fluxo_de_Caixa_Janeiro310208[[#This Row],[% ACUMULADO  1º SEMEST 2026]]&gt;=Fluxo_de_Caixa_Janeiro310208[[#This Row],[% ACUMULADO  1º SEMEST 2025]],"VERDADEIRO","FALSO")</f>
        <v>FALSO</v>
      </c>
      <c r="T27" s="501">
        <v>5659962.4300000006</v>
      </c>
      <c r="U27" s="576">
        <v>0.90408941332414738</v>
      </c>
      <c r="W27" s="287"/>
    </row>
    <row r="28" spans="1:23" s="1" customFormat="1" ht="24" thickBot="1" x14ac:dyDescent="0.4">
      <c r="A28" s="11" t="s">
        <v>49</v>
      </c>
      <c r="B28" s="57" t="str">
        <f>Fluxo_de_Caixa_Janeiro[[#This Row],[Fluxo de Caixa 2026 CTR]]</f>
        <v>1.1. Receita com Vendas</v>
      </c>
      <c r="C28" s="44">
        <f>Fluxo_de_Caixa_Janeiro[[#This Row],[Janeiro]]</f>
        <v>749632.92999999993</v>
      </c>
      <c r="D28" s="85">
        <f>Fluxo_de_Caixa_Janeiro3[[#This Row],[Fevereiro]]</f>
        <v>1038589.0900000001</v>
      </c>
      <c r="E28" s="85">
        <f>Fluxo_de_Caixa_Janeiro34[[#This Row],[Março]]</f>
        <v>1087749.99</v>
      </c>
      <c r="F28" s="85">
        <f>Fluxo_de_Caixa_Janeiro345[[#This Row],[ABRIL]]</f>
        <v>1009247</v>
      </c>
      <c r="G28" s="85">
        <f>Fluxo_de_Caixa_Janeiro3459[[#This Row],[MAIO]]</f>
        <v>749225.37</v>
      </c>
      <c r="H28" s="122">
        <f>Fluxo_de_Caixa_Janeiro345911[[#This Row],[JUNHO]]</f>
        <v>0</v>
      </c>
      <c r="I28" s="85"/>
      <c r="J28" s="85"/>
      <c r="K28" s="85"/>
      <c r="L28" s="85"/>
      <c r="M28" s="85"/>
      <c r="N28" s="122"/>
      <c r="O28" s="212">
        <f>SUM(Fluxo_de_Caixa_Janeiro310208[[#This Row],[Janeiro]:[Dezembro]])</f>
        <v>4634444.38</v>
      </c>
      <c r="P28" s="25">
        <f>SUM(P29:P47)</f>
        <v>0.84753576362215444</v>
      </c>
      <c r="Q28" s="69">
        <v>0.90408941332414727</v>
      </c>
      <c r="R28" s="32"/>
      <c r="T28" s="502">
        <v>5659962.4300000006</v>
      </c>
      <c r="U28" s="577">
        <v>0.90408941332414727</v>
      </c>
    </row>
    <row r="29" spans="1:23" x14ac:dyDescent="0.25">
      <c r="B29" s="49" t="str">
        <f>Fluxo_de_Caixa_Janeiro[[#This Row],[Fluxo de Caixa 2026 CTR]]</f>
        <v xml:space="preserve">1.1.01. Receita em Dinheiro </v>
      </c>
      <c r="C29" s="39">
        <f>Fluxo_de_Caixa_Janeiro[[#This Row],[Janeiro]]</f>
        <v>2199.7799999999997</v>
      </c>
      <c r="D29" s="84">
        <f>Fluxo_de_Caixa_Janeiro3[[#This Row],[Fevereiro]]</f>
        <v>4660.3700000000008</v>
      </c>
      <c r="E29" s="84">
        <f>Fluxo_de_Caixa_Janeiro34[[#This Row],[Março]]</f>
        <v>2754.35</v>
      </c>
      <c r="F29" s="84">
        <f>Fluxo_de_Caixa_Janeiro345[[#This Row],[ABRIL]]</f>
        <v>3589.3999999999996</v>
      </c>
      <c r="G29" s="84">
        <f>Fluxo_de_Caixa_Janeiro3459[[#This Row],[MAIO]]</f>
        <v>7136.5300000000007</v>
      </c>
      <c r="H29" s="123">
        <f>Fluxo_de_Caixa_Janeiro345911[[#This Row],[JUNHO]]</f>
        <v>0</v>
      </c>
      <c r="I29" s="84"/>
      <c r="J29" s="84"/>
      <c r="K29" s="84"/>
      <c r="L29" s="84"/>
      <c r="M29" s="84"/>
      <c r="N29" s="123"/>
      <c r="O29" s="213">
        <f>SUM(Fluxo_de_Caixa_Janeiro310208[[#This Row],[Janeiro]:[Dezembro]])</f>
        <v>20340.43</v>
      </c>
      <c r="P29" s="29">
        <f t="shared" ref="P29:P47" si="2">IF(O29=0,"0,00%",O29/$O$332)</f>
        <v>3.7198076962254925E-3</v>
      </c>
      <c r="Q29" s="63">
        <v>5.9783996143199236E-3</v>
      </c>
      <c r="R29" s="32" t="str">
        <f>IF(Fluxo_de_Caixa_Janeiro310208[[#This Row],[% ACUMULADO  1º SEMEST 2026]]&gt;=Fluxo_de_Caixa_Janeiro310208[[#This Row],[% ACUMULADO  1º SEMEST 2025]],"VERDADEIRO","FALSO")</f>
        <v>FALSO</v>
      </c>
      <c r="T29" s="503">
        <v>37427.18</v>
      </c>
      <c r="U29" s="578">
        <v>5.9783996143199236E-3</v>
      </c>
    </row>
    <row r="30" spans="1:23" x14ac:dyDescent="0.25">
      <c r="B30" s="50" t="str">
        <f>Fluxo_de_Caixa_Janeiro[[#This Row],[Fluxo de Caixa 2026 CTR]]</f>
        <v>1.1.01. Receita em Cartão (Crédito e Débito)</v>
      </c>
      <c r="C30" s="40">
        <f>Fluxo_de_Caixa_Janeiro[[#This Row],[Janeiro]]</f>
        <v>328505.71999999997</v>
      </c>
      <c r="D30" s="64">
        <f>Fluxo_de_Caixa_Janeiro3[[#This Row],[Fevereiro]]</f>
        <v>221053.51</v>
      </c>
      <c r="E30" s="64">
        <f>Fluxo_de_Caixa_Janeiro34[[#This Row],[Março]]</f>
        <v>110371.16999999998</v>
      </c>
      <c r="F30" s="64">
        <f>Fluxo_de_Caixa_Janeiro345[[#This Row],[ABRIL]]</f>
        <v>160565.41</v>
      </c>
      <c r="G30" s="64">
        <f>Fluxo_de_Caixa_Janeiro3459[[#This Row],[MAIO]]</f>
        <v>106265.12</v>
      </c>
      <c r="H30" s="124">
        <f>Fluxo_de_Caixa_Janeiro345911[[#This Row],[JUNHO]]</f>
        <v>0</v>
      </c>
      <c r="I30" s="64"/>
      <c r="J30" s="64"/>
      <c r="K30" s="64"/>
      <c r="L30" s="64"/>
      <c r="M30" s="64"/>
      <c r="N30" s="124"/>
      <c r="O30" s="214">
        <f>SUM(Fluxo_de_Caixa_Janeiro310208[[#This Row],[Janeiro]:[Dezembro]])</f>
        <v>926760.92999999993</v>
      </c>
      <c r="P30" s="140">
        <f t="shared" si="2"/>
        <v>0.16948375427535675</v>
      </c>
      <c r="Q30" s="63">
        <v>6.0515629766717274E-2</v>
      </c>
      <c r="R30" s="32" t="str">
        <f>IF(Fluxo_de_Caixa_Janeiro310208[[#This Row],[% ACUMULADO  1º SEMEST 2026]]&gt;=Fluxo_de_Caixa_Janeiro310208[[#This Row],[% ACUMULADO  1º SEMEST 2025]],"VERDADEIRO","FALSO")</f>
        <v>VERDADEIRO</v>
      </c>
      <c r="T30" s="504">
        <v>378852.12</v>
      </c>
      <c r="U30" s="579">
        <v>6.0515629766717274E-2</v>
      </c>
    </row>
    <row r="31" spans="1:23" x14ac:dyDescent="0.25">
      <c r="B31" s="50" t="str">
        <f>Fluxo_de_Caixa_Janeiro[[#This Row],[Fluxo de Caixa 2026 CTR]]</f>
        <v>1.1.01. Receita de Cheque A Vista</v>
      </c>
      <c r="C31" s="35">
        <f>Fluxo_de_Caixa_Janeiro[[#This Row],[Janeiro]]</f>
        <v>15000</v>
      </c>
      <c r="D31" s="62">
        <f>Fluxo_de_Caixa_Janeiro3[[#This Row],[Fevereiro]]</f>
        <v>26907.75</v>
      </c>
      <c r="E31" s="62">
        <f>Fluxo_de_Caixa_Janeiro34[[#This Row],[Março]]</f>
        <v>0</v>
      </c>
      <c r="F31" s="62">
        <f>Fluxo_de_Caixa_Janeiro345[[#This Row],[ABRIL]]</f>
        <v>19225.740000000002</v>
      </c>
      <c r="G31" s="62">
        <f>Fluxo_de_Caixa_Janeiro3459[[#This Row],[MAIO]]</f>
        <v>0</v>
      </c>
      <c r="H31" s="119">
        <f>Fluxo_de_Caixa_Janeiro345911[[#This Row],[JUNHO]]</f>
        <v>0</v>
      </c>
      <c r="I31" s="62"/>
      <c r="J31" s="62"/>
      <c r="K31" s="62"/>
      <c r="L31" s="62"/>
      <c r="M31" s="62"/>
      <c r="N31" s="119"/>
      <c r="O31" s="214">
        <f>SUM(Fluxo_de_Caixa_Janeiro310208[[#This Row],[Janeiro]:[Dezembro]])</f>
        <v>61133.490000000005</v>
      </c>
      <c r="P31" s="140">
        <f t="shared" si="2"/>
        <v>1.1179941948086849E-2</v>
      </c>
      <c r="Q31" s="63">
        <v>8.4534838069275293E-4</v>
      </c>
      <c r="R31" s="32" t="str">
        <f>IF(Fluxo_de_Caixa_Janeiro310208[[#This Row],[% ACUMULADO  1º SEMEST 2026]]&gt;=Fluxo_de_Caixa_Janeiro310208[[#This Row],[% ACUMULADO  1º SEMEST 2025]],"VERDADEIRO","FALSO")</f>
        <v>VERDADEIRO</v>
      </c>
      <c r="T31" s="504">
        <v>5292.22</v>
      </c>
      <c r="U31" s="579">
        <v>8.4534838069275293E-4</v>
      </c>
    </row>
    <row r="32" spans="1:23" x14ac:dyDescent="0.25">
      <c r="B32" s="50" t="str">
        <f>Fluxo_de_Caixa_Janeiro[[#This Row],[Fluxo de Caixa 2026 CTR]]</f>
        <v xml:space="preserve">1.1.01. Receita de Cheque Pré </v>
      </c>
      <c r="C32" s="35">
        <f>Fluxo_de_Caixa_Janeiro[[#This Row],[Janeiro]]</f>
        <v>0</v>
      </c>
      <c r="D32" s="62">
        <f>Fluxo_de_Caixa_Janeiro3[[#This Row],[Fevereiro]]</f>
        <v>0</v>
      </c>
      <c r="E32" s="62">
        <f>Fluxo_de_Caixa_Janeiro34[[#This Row],[Março]]</f>
        <v>0</v>
      </c>
      <c r="F32" s="62">
        <f>Fluxo_de_Caixa_Janeiro345[[#This Row],[ABRIL]]</f>
        <v>0</v>
      </c>
      <c r="G32" s="62">
        <f>Fluxo_de_Caixa_Janeiro3459[[#This Row],[MAIO]]</f>
        <v>0</v>
      </c>
      <c r="H32" s="119">
        <f>Fluxo_de_Caixa_Janeiro345911[[#This Row],[JUNHO]]</f>
        <v>0</v>
      </c>
      <c r="I32" s="62"/>
      <c r="J32" s="62"/>
      <c r="K32" s="62"/>
      <c r="L32" s="62"/>
      <c r="M32" s="62"/>
      <c r="N32" s="119"/>
      <c r="O32" s="214">
        <f>SUM(Fluxo_de_Caixa_Janeiro310208[[#This Row],[Janeiro]:[Dezembro]])</f>
        <v>0</v>
      </c>
      <c r="P32" s="140" t="str">
        <f t="shared" si="2"/>
        <v>0,00%</v>
      </c>
      <c r="Q32" s="63" t="s">
        <v>240</v>
      </c>
      <c r="R32" s="32" t="str">
        <f>IF(Fluxo_de_Caixa_Janeiro310208[[#This Row],[% ACUMULADO  1º SEMEST 2026]]&gt;=Fluxo_de_Caixa_Janeiro310208[[#This Row],[% ACUMULADO  1º SEMEST 2025]],"VERDADEIRO","FALSO")</f>
        <v>VERDADEIRO</v>
      </c>
      <c r="T32" s="504">
        <v>0</v>
      </c>
      <c r="U32" s="579" t="s">
        <v>240</v>
      </c>
    </row>
    <row r="33" spans="1:21" x14ac:dyDescent="0.25">
      <c r="B33" s="50" t="str">
        <f>Fluxo_de_Caixa_Janeiro[[#This Row],[Fluxo de Caixa 2026 CTR]]</f>
        <v>1.1.01. Recebimento de Carteira (Notinha)</v>
      </c>
      <c r="C33" s="35">
        <f>Fluxo_de_Caixa_Janeiro[[#This Row],[Janeiro]]</f>
        <v>0</v>
      </c>
      <c r="D33" s="62">
        <f>Fluxo_de_Caixa_Janeiro3[[#This Row],[Fevereiro]]</f>
        <v>0</v>
      </c>
      <c r="E33" s="62">
        <f>Fluxo_de_Caixa_Janeiro34[[#This Row],[Março]]</f>
        <v>190040.35</v>
      </c>
      <c r="F33" s="62">
        <f>Fluxo_de_Caixa_Janeiro345[[#This Row],[ABRIL]]</f>
        <v>30464</v>
      </c>
      <c r="G33" s="62">
        <f>Fluxo_de_Caixa_Janeiro3459[[#This Row],[MAIO]]</f>
        <v>0</v>
      </c>
      <c r="H33" s="119">
        <f>Fluxo_de_Caixa_Janeiro345911[[#This Row],[JUNHO]]</f>
        <v>0</v>
      </c>
      <c r="I33" s="62"/>
      <c r="J33" s="62"/>
      <c r="K33" s="62"/>
      <c r="L33" s="62"/>
      <c r="M33" s="62"/>
      <c r="N33" s="119"/>
      <c r="O33" s="214">
        <f>SUM(Fluxo_de_Caixa_Janeiro310208[[#This Row],[Janeiro]:[Dezembro]])</f>
        <v>220504.35</v>
      </c>
      <c r="P33" s="140">
        <f t="shared" si="2"/>
        <v>4.0325291952097359E-2</v>
      </c>
      <c r="Q33" s="63">
        <v>0.1613492427972483</v>
      </c>
      <c r="R33" s="32" t="str">
        <f>IF(Fluxo_de_Caixa_Janeiro310208[[#This Row],[% ACUMULADO  1º SEMEST 2026]]&gt;=Fluxo_de_Caixa_Janeiro310208[[#This Row],[% ACUMULADO  1º SEMEST 2025]],"VERDADEIRO","FALSO")</f>
        <v>FALSO</v>
      </c>
      <c r="T33" s="504">
        <v>1010110.9899999999</v>
      </c>
      <c r="U33" s="579">
        <v>0.1613492427972483</v>
      </c>
    </row>
    <row r="34" spans="1:21" x14ac:dyDescent="0.25">
      <c r="B34" s="50" t="str">
        <f>Fluxo_de_Caixa_Janeiro[[#This Row],[Fluxo de Caixa 2026 CTR]]</f>
        <v>1.1.01. Recebimento de Boletos</v>
      </c>
      <c r="C34" s="35">
        <f>Fluxo_de_Caixa_Janeiro[[#This Row],[Janeiro]]</f>
        <v>144411.43</v>
      </c>
      <c r="D34" s="62">
        <f>Fluxo_de_Caixa_Janeiro3[[#This Row],[Fevereiro]]</f>
        <v>317162.15000000002</v>
      </c>
      <c r="E34" s="62">
        <f>Fluxo_de_Caixa_Janeiro34[[#This Row],[Março]]</f>
        <v>395244.86</v>
      </c>
      <c r="F34" s="62">
        <f>Fluxo_de_Caixa_Janeiro345[[#This Row],[ABRIL]]</f>
        <v>353624.95</v>
      </c>
      <c r="G34" s="62">
        <f>Fluxo_de_Caixa_Janeiro3459[[#This Row],[MAIO]]</f>
        <v>98986.010000000009</v>
      </c>
      <c r="H34" s="119">
        <f>Fluxo_de_Caixa_Janeiro345911[[#This Row],[JUNHO]]</f>
        <v>0</v>
      </c>
      <c r="I34" s="62"/>
      <c r="J34" s="62"/>
      <c r="K34" s="62"/>
      <c r="L34" s="62"/>
      <c r="M34" s="62"/>
      <c r="N34" s="119"/>
      <c r="O34" s="214">
        <f>SUM(Fluxo_de_Caixa_Janeiro310208[[#This Row],[Janeiro]:[Dezembro]])</f>
        <v>1309429.3999999999</v>
      </c>
      <c r="P34" s="140">
        <f t="shared" si="2"/>
        <v>0.23946522073446472</v>
      </c>
      <c r="Q34" s="63">
        <v>0.30770490334614625</v>
      </c>
      <c r="R34" s="32" t="str">
        <f>IF(Fluxo_de_Caixa_Janeiro310208[[#This Row],[% ACUMULADO  1º SEMEST 2026]]&gt;=Fluxo_de_Caixa_Janeiro310208[[#This Row],[% ACUMULADO  1º SEMEST 2025]],"VERDADEIRO","FALSO")</f>
        <v>FALSO</v>
      </c>
      <c r="T34" s="504">
        <v>1926356.1400000001</v>
      </c>
      <c r="U34" s="579">
        <v>0.30770490334614625</v>
      </c>
    </row>
    <row r="35" spans="1:21" x14ac:dyDescent="0.25">
      <c r="B35" s="50" t="str">
        <f>Fluxo_de_Caixa_Janeiro[[#This Row],[Fluxo de Caixa 2026 CTR]]</f>
        <v>1.1.01. Recebimento em Depósito e Dep. PIX</v>
      </c>
      <c r="C35" s="35">
        <f>Fluxo_de_Caixa_Janeiro[[#This Row],[Janeiro]]</f>
        <v>259516</v>
      </c>
      <c r="D35" s="62">
        <f>Fluxo_de_Caixa_Janeiro3[[#This Row],[Fevereiro]]</f>
        <v>468805.31000000006</v>
      </c>
      <c r="E35" s="62">
        <f>Fluxo_de_Caixa_Janeiro34[[#This Row],[Março]]</f>
        <v>389339.26</v>
      </c>
      <c r="F35" s="62">
        <f>Fluxo_de_Caixa_Janeiro345[[#This Row],[ABRIL]]</f>
        <v>441777.5</v>
      </c>
      <c r="G35" s="62">
        <f>Fluxo_de_Caixa_Janeiro3459[[#This Row],[MAIO]]</f>
        <v>536837.71</v>
      </c>
      <c r="H35" s="119">
        <f>Fluxo_de_Caixa_Janeiro345911[[#This Row],[JUNHO]]</f>
        <v>0</v>
      </c>
      <c r="I35" s="62"/>
      <c r="J35" s="62"/>
      <c r="K35" s="62"/>
      <c r="L35" s="62"/>
      <c r="M35" s="62"/>
      <c r="N35" s="119"/>
      <c r="O35" s="214">
        <f>SUM(Fluxo_de_Caixa_Janeiro310208[[#This Row],[Janeiro]:[Dezembro]])</f>
        <v>2096275.78</v>
      </c>
      <c r="P35" s="140">
        <f t="shared" si="2"/>
        <v>0.38336174701592329</v>
      </c>
      <c r="Q35" s="63">
        <v>0.36769588941902281</v>
      </c>
      <c r="R35" s="32" t="str">
        <f>IF(Fluxo_de_Caixa_Janeiro310208[[#This Row],[% ACUMULADO  1º SEMEST 2026]]&gt;=Fluxo_de_Caixa_Janeiro310208[[#This Row],[% ACUMULADO  1º SEMEST 2025]],"VERDADEIRO","FALSO")</f>
        <v>VERDADEIRO</v>
      </c>
      <c r="T35" s="504">
        <v>2301923.7800000003</v>
      </c>
      <c r="U35" s="579">
        <v>0.36769588941902281</v>
      </c>
    </row>
    <row r="36" spans="1:21" ht="15.75" thickBot="1" x14ac:dyDescent="0.3">
      <c r="B36" s="51" t="str">
        <f>Fluxo_de_Caixa_Janeiro[[#This Row],[Fluxo de Caixa 2026 CTR]]</f>
        <v>1.1.02. Recebimento Cheque Devolvido</v>
      </c>
      <c r="C36" s="35">
        <f>Fluxo_de_Caixa_Janeiro[[#This Row],[Janeiro]]</f>
        <v>0</v>
      </c>
      <c r="D36" s="62">
        <f>Fluxo_de_Caixa_Janeiro3[[#This Row],[Fevereiro]]</f>
        <v>0</v>
      </c>
      <c r="E36" s="62">
        <f>Fluxo_de_Caixa_Janeiro34[[#This Row],[Março]]</f>
        <v>0</v>
      </c>
      <c r="F36" s="62">
        <f>Fluxo_de_Caixa_Janeiro345[[#This Row],[ABRIL]]</f>
        <v>0</v>
      </c>
      <c r="G36" s="62">
        <f>Fluxo_de_Caixa_Janeiro3459[[#This Row],[MAIO]]</f>
        <v>0</v>
      </c>
      <c r="H36" s="62">
        <f>Fluxo_de_Caixa_Janeiro345911[[#This Row],[JUNHO]]</f>
        <v>0</v>
      </c>
      <c r="I36" s="35"/>
      <c r="J36" s="62"/>
      <c r="K36" s="62"/>
      <c r="L36" s="62"/>
      <c r="M36" s="62"/>
      <c r="N36" s="119"/>
      <c r="O36" s="214">
        <f>SUM(Fluxo_de_Caixa_Janeiro310208[[#This Row],[Janeiro]:[Dezembro]])</f>
        <v>0</v>
      </c>
      <c r="P36" s="140" t="str">
        <f t="shared" si="2"/>
        <v>0,00%</v>
      </c>
      <c r="Q36" s="63" t="s">
        <v>240</v>
      </c>
      <c r="R36" s="32" t="str">
        <f>IF(Fluxo_de_Caixa_Janeiro310208[[#This Row],[% ACUMULADO  1º SEMEST 2026]]&gt;=Fluxo_de_Caixa_Janeiro310208[[#This Row],[% ACUMULADO  1º SEMEST 2025]],"VERDADEIRO","FALSO")</f>
        <v>VERDADEIRO</v>
      </c>
      <c r="T36" s="504">
        <v>0</v>
      </c>
      <c r="U36" s="579" t="s">
        <v>240</v>
      </c>
    </row>
    <row r="37" spans="1:21" hidden="1" x14ac:dyDescent="0.25">
      <c r="B37" s="365">
        <f>Fluxo_de_Caixa_Janeiro[[#This Row],[Fluxo de Caixa 2026 CTR]]</f>
        <v>0</v>
      </c>
      <c r="C37" s="35">
        <f>Fluxo_de_Caixa_Janeiro[[#This Row],[Janeiro]]</f>
        <v>0</v>
      </c>
      <c r="D37" s="62">
        <f>Fluxo_de_Caixa_Janeiro3[[#This Row],[Fevereiro]]</f>
        <v>0</v>
      </c>
      <c r="E37" s="62">
        <f>Fluxo_de_Caixa_Janeiro34[[#This Row],[Março]]</f>
        <v>0</v>
      </c>
      <c r="F37" s="62">
        <f>Fluxo_de_Caixa_Janeiro345[[#This Row],[ABRIL]]</f>
        <v>0</v>
      </c>
      <c r="G37" s="62">
        <f>Fluxo_de_Caixa_Janeiro3459[[#This Row],[MAIO]]</f>
        <v>0</v>
      </c>
      <c r="H37" s="62">
        <f>Fluxo_de_Caixa_Janeiro345911[[#This Row],[JUNHO]]</f>
        <v>0</v>
      </c>
      <c r="I37" s="35"/>
      <c r="J37" s="62"/>
      <c r="K37" s="62"/>
      <c r="L37" s="62"/>
      <c r="M37" s="62"/>
      <c r="N37" s="119"/>
      <c r="O37" s="214">
        <f>SUM(Fluxo_de_Caixa_Janeiro310208[[#This Row],[Janeiro]:[Dezembro]])</f>
        <v>0</v>
      </c>
      <c r="P37" s="140" t="str">
        <f t="shared" si="2"/>
        <v>0,00%</v>
      </c>
      <c r="Q37" s="63" t="s">
        <v>240</v>
      </c>
      <c r="R37" s="32" t="str">
        <f>IF(Fluxo_de_Caixa_Janeiro310208[[#This Row],[% ACUMULADO  1º SEMEST 2026]]&gt;=Fluxo_de_Caixa_Janeiro310208[[#This Row],[% ACUMULADO  1º SEMEST 2025]],"VERDADEIRO","FALSO")</f>
        <v>VERDADEIRO</v>
      </c>
      <c r="T37" s="504">
        <v>0</v>
      </c>
      <c r="U37" s="579" t="s">
        <v>240</v>
      </c>
    </row>
    <row r="38" spans="1:21" hidden="1" x14ac:dyDescent="0.25">
      <c r="B38" s="362">
        <f>Fluxo_de_Caixa_Janeiro[[#This Row],[Fluxo de Caixa 2026 CTR]]</f>
        <v>0</v>
      </c>
      <c r="C38" s="357">
        <f>Fluxo_de_Caixa_Janeiro[[#This Row],[Janeiro]]</f>
        <v>0</v>
      </c>
      <c r="D38" s="306">
        <f>Fluxo_de_Caixa_Janeiro3[[#This Row],[Fevereiro]]</f>
        <v>0</v>
      </c>
      <c r="E38" s="306">
        <f>Fluxo_de_Caixa_Janeiro34[[#This Row],[Março]]</f>
        <v>0</v>
      </c>
      <c r="F38" s="306">
        <f>Fluxo_de_Caixa_Janeiro345[[#This Row],[ABRIL]]</f>
        <v>0</v>
      </c>
      <c r="G38" s="306">
        <f>Fluxo_de_Caixa_Janeiro3459[[#This Row],[MAIO]]</f>
        <v>0</v>
      </c>
      <c r="H38" s="306">
        <f>Fluxo_de_Caixa_Janeiro345911[[#This Row],[JUNHO]]</f>
        <v>0</v>
      </c>
      <c r="I38" s="357"/>
      <c r="J38" s="306"/>
      <c r="K38" s="306"/>
      <c r="L38" s="306"/>
      <c r="M38" s="306"/>
      <c r="N38" s="360"/>
      <c r="O38" s="394">
        <f>SUM(Fluxo_de_Caixa_Janeiro310208[[#This Row],[Janeiro]:[Dezembro]])</f>
        <v>0</v>
      </c>
      <c r="P38" s="140" t="str">
        <f t="shared" si="2"/>
        <v>0,00%</v>
      </c>
      <c r="Q38" s="395" t="s">
        <v>240</v>
      </c>
      <c r="R38" s="32"/>
      <c r="T38" s="505">
        <v>0</v>
      </c>
      <c r="U38" s="579" t="s">
        <v>240</v>
      </c>
    </row>
    <row r="39" spans="1:21" hidden="1" x14ac:dyDescent="0.25">
      <c r="B39" s="364">
        <f>Fluxo_de_Caixa_Janeiro[[#This Row],[Fluxo de Caixa 2026 CTR]]</f>
        <v>0</v>
      </c>
      <c r="C39" s="357">
        <f>Fluxo_de_Caixa_Janeiro[[#This Row],[Janeiro]]</f>
        <v>0</v>
      </c>
      <c r="D39" s="306">
        <f>Fluxo_de_Caixa_Janeiro3[[#This Row],[Fevereiro]]</f>
        <v>0</v>
      </c>
      <c r="E39" s="306">
        <f>Fluxo_de_Caixa_Janeiro34[[#This Row],[Março]]</f>
        <v>0</v>
      </c>
      <c r="F39" s="306">
        <f>Fluxo_de_Caixa_Janeiro345[[#This Row],[ABRIL]]</f>
        <v>0</v>
      </c>
      <c r="G39" s="306">
        <f>Fluxo_de_Caixa_Janeiro3459[[#This Row],[MAIO]]</f>
        <v>0</v>
      </c>
      <c r="H39" s="306">
        <f>Fluxo_de_Caixa_Janeiro345911[[#This Row],[JUNHO]]</f>
        <v>0</v>
      </c>
      <c r="I39" s="357"/>
      <c r="J39" s="306"/>
      <c r="K39" s="306"/>
      <c r="L39" s="306"/>
      <c r="M39" s="306"/>
      <c r="N39" s="360"/>
      <c r="O39" s="394">
        <f>SUM(Fluxo_de_Caixa_Janeiro310208[[#This Row],[Janeiro]:[Dezembro]])</f>
        <v>0</v>
      </c>
      <c r="P39" s="140" t="str">
        <f t="shared" si="2"/>
        <v>0,00%</v>
      </c>
      <c r="Q39" s="395" t="s">
        <v>240</v>
      </c>
      <c r="R39" s="32"/>
      <c r="T39" s="505">
        <v>0</v>
      </c>
      <c r="U39" s="579" t="s">
        <v>240</v>
      </c>
    </row>
    <row r="40" spans="1:21" hidden="1" x14ac:dyDescent="0.25">
      <c r="B40" s="362">
        <f>Fluxo_de_Caixa_Janeiro[[#This Row],[Fluxo de Caixa 2026 CTR]]</f>
        <v>0</v>
      </c>
      <c r="C40" s="358">
        <f>Fluxo_de_Caixa_Janeiro[[#This Row],[Janeiro]]</f>
        <v>0</v>
      </c>
      <c r="D40" s="359">
        <f>Fluxo_de_Caixa_Janeiro3[[#This Row],[Fevereiro]]</f>
        <v>0</v>
      </c>
      <c r="E40" s="359">
        <f>Fluxo_de_Caixa_Janeiro34[[#This Row],[Março]]</f>
        <v>0</v>
      </c>
      <c r="F40" s="359">
        <f>Fluxo_de_Caixa_Janeiro345[[#This Row],[ABRIL]]</f>
        <v>0</v>
      </c>
      <c r="G40" s="359">
        <f>Fluxo_de_Caixa_Janeiro3459[[#This Row],[MAIO]]</f>
        <v>0</v>
      </c>
      <c r="H40" s="359">
        <f>Fluxo_de_Caixa_Janeiro345911[[#This Row],[JUNHO]]</f>
        <v>0</v>
      </c>
      <c r="I40" s="358"/>
      <c r="J40" s="359"/>
      <c r="K40" s="359"/>
      <c r="L40" s="359"/>
      <c r="M40" s="359"/>
      <c r="N40" s="361"/>
      <c r="O40" s="394">
        <f>SUM(Fluxo_de_Caixa_Janeiro310208[[#This Row],[Janeiro]:[Dezembro]])</f>
        <v>0</v>
      </c>
      <c r="P40" s="140" t="str">
        <f t="shared" si="2"/>
        <v>0,00%</v>
      </c>
      <c r="Q40" s="395" t="s">
        <v>240</v>
      </c>
      <c r="R40" s="32"/>
      <c r="T40" s="505">
        <v>0</v>
      </c>
      <c r="U40" s="579" t="s">
        <v>240</v>
      </c>
    </row>
    <row r="41" spans="1:21" hidden="1" x14ac:dyDescent="0.25">
      <c r="B41" s="363">
        <f>Fluxo_de_Caixa_Janeiro[[#This Row],[Fluxo de Caixa 2026 CTR]]</f>
        <v>0</v>
      </c>
      <c r="C41" s="358">
        <f>Fluxo_de_Caixa_Janeiro[[#This Row],[Janeiro]]</f>
        <v>0</v>
      </c>
      <c r="D41" s="359">
        <f>Fluxo_de_Caixa_Janeiro3[[#This Row],[Fevereiro]]</f>
        <v>0</v>
      </c>
      <c r="E41" s="359">
        <f>Fluxo_de_Caixa_Janeiro34[[#This Row],[Março]]</f>
        <v>0</v>
      </c>
      <c r="F41" s="359">
        <f>Fluxo_de_Caixa_Janeiro345[[#This Row],[ABRIL]]</f>
        <v>0</v>
      </c>
      <c r="G41" s="359">
        <f>Fluxo_de_Caixa_Janeiro3459[[#This Row],[MAIO]]</f>
        <v>0</v>
      </c>
      <c r="H41" s="359">
        <f>Fluxo_de_Caixa_Janeiro345911[[#This Row],[JUNHO]]</f>
        <v>0</v>
      </c>
      <c r="I41" s="358"/>
      <c r="J41" s="359"/>
      <c r="K41" s="359"/>
      <c r="L41" s="359"/>
      <c r="M41" s="359"/>
      <c r="N41" s="361"/>
      <c r="O41" s="394">
        <f>SUM(Fluxo_de_Caixa_Janeiro310208[[#This Row],[Janeiro]:[Dezembro]])</f>
        <v>0</v>
      </c>
      <c r="P41" s="140" t="str">
        <f t="shared" si="2"/>
        <v>0,00%</v>
      </c>
      <c r="Q41" s="395" t="s">
        <v>240</v>
      </c>
      <c r="R41" s="32"/>
      <c r="T41" s="505">
        <v>0</v>
      </c>
      <c r="U41" s="579" t="s">
        <v>240</v>
      </c>
    </row>
    <row r="42" spans="1:21" hidden="1" x14ac:dyDescent="0.25">
      <c r="B42" s="363">
        <f>Fluxo_de_Caixa_Janeiro[[#This Row],[Fluxo de Caixa 2026 CTR]]</f>
        <v>0</v>
      </c>
      <c r="C42" s="358">
        <f>Fluxo_de_Caixa_Janeiro[[#This Row],[Janeiro]]</f>
        <v>0</v>
      </c>
      <c r="D42" s="359">
        <f>Fluxo_de_Caixa_Janeiro3[[#This Row],[Fevereiro]]</f>
        <v>0</v>
      </c>
      <c r="E42" s="359">
        <f>Fluxo_de_Caixa_Janeiro34[[#This Row],[Março]]</f>
        <v>0</v>
      </c>
      <c r="F42" s="359">
        <f>Fluxo_de_Caixa_Janeiro345[[#This Row],[ABRIL]]</f>
        <v>0</v>
      </c>
      <c r="G42" s="359">
        <f>Fluxo_de_Caixa_Janeiro3459[[#This Row],[MAIO]]</f>
        <v>0</v>
      </c>
      <c r="H42" s="359">
        <f>Fluxo_de_Caixa_Janeiro345911[[#This Row],[JUNHO]]</f>
        <v>0</v>
      </c>
      <c r="I42" s="358"/>
      <c r="J42" s="359"/>
      <c r="K42" s="359"/>
      <c r="L42" s="359"/>
      <c r="M42" s="359"/>
      <c r="N42" s="361"/>
      <c r="O42" s="394">
        <f>SUM(Fluxo_de_Caixa_Janeiro310208[[#This Row],[Janeiro]:[Dezembro]])</f>
        <v>0</v>
      </c>
      <c r="P42" s="140" t="str">
        <f t="shared" si="2"/>
        <v>0,00%</v>
      </c>
      <c r="Q42" s="395" t="s">
        <v>240</v>
      </c>
      <c r="R42" s="32"/>
      <c r="T42" s="505">
        <v>0</v>
      </c>
      <c r="U42" s="579" t="s">
        <v>240</v>
      </c>
    </row>
    <row r="43" spans="1:21" hidden="1" x14ac:dyDescent="0.25">
      <c r="B43" s="364">
        <f>Fluxo_de_Caixa_Janeiro[[#This Row],[Fluxo de Caixa 2026 CTR]]</f>
        <v>0</v>
      </c>
      <c r="C43" s="358">
        <f>Fluxo_de_Caixa_Janeiro[[#This Row],[Janeiro]]</f>
        <v>0</v>
      </c>
      <c r="D43" s="359">
        <f>Fluxo_de_Caixa_Janeiro3[[#This Row],[Fevereiro]]</f>
        <v>0</v>
      </c>
      <c r="E43" s="359">
        <f>Fluxo_de_Caixa_Janeiro34[[#This Row],[Março]]</f>
        <v>0</v>
      </c>
      <c r="F43" s="359">
        <f>Fluxo_de_Caixa_Janeiro345[[#This Row],[ABRIL]]</f>
        <v>0</v>
      </c>
      <c r="G43" s="359">
        <f>Fluxo_de_Caixa_Janeiro3459[[#This Row],[MAIO]]</f>
        <v>0</v>
      </c>
      <c r="H43" s="359">
        <f>Fluxo_de_Caixa_Janeiro345911[[#This Row],[JUNHO]]</f>
        <v>0</v>
      </c>
      <c r="I43" s="358"/>
      <c r="J43" s="359"/>
      <c r="K43" s="359"/>
      <c r="L43" s="359"/>
      <c r="M43" s="359"/>
      <c r="N43" s="361"/>
      <c r="O43" s="394">
        <f>SUM(Fluxo_de_Caixa_Janeiro310208[[#This Row],[Janeiro]:[Dezembro]])</f>
        <v>0</v>
      </c>
      <c r="P43" s="140" t="str">
        <f t="shared" si="2"/>
        <v>0,00%</v>
      </c>
      <c r="Q43" s="395" t="s">
        <v>240</v>
      </c>
      <c r="R43" s="32"/>
      <c r="T43" s="505">
        <v>0</v>
      </c>
      <c r="U43" s="579" t="s">
        <v>240</v>
      </c>
    </row>
    <row r="44" spans="1:21" hidden="1" x14ac:dyDescent="0.25">
      <c r="B44" s="364">
        <f>Fluxo_de_Caixa_Janeiro[[#This Row],[Fluxo de Caixa 2026 CTR]]</f>
        <v>0</v>
      </c>
      <c r="C44" s="358">
        <f>Fluxo_de_Caixa_Janeiro[[#This Row],[Janeiro]]</f>
        <v>0</v>
      </c>
      <c r="D44" s="359">
        <f>Fluxo_de_Caixa_Janeiro3[[#This Row],[Fevereiro]]</f>
        <v>0</v>
      </c>
      <c r="E44" s="359">
        <f>Fluxo_de_Caixa_Janeiro34[[#This Row],[Março]]</f>
        <v>0</v>
      </c>
      <c r="F44" s="359">
        <f>Fluxo_de_Caixa_Janeiro345[[#This Row],[ABRIL]]</f>
        <v>0</v>
      </c>
      <c r="G44" s="359">
        <f>Fluxo_de_Caixa_Janeiro3459[[#This Row],[MAIO]]</f>
        <v>0</v>
      </c>
      <c r="H44" s="359">
        <f>Fluxo_de_Caixa_Janeiro345911[[#This Row],[JUNHO]]</f>
        <v>0</v>
      </c>
      <c r="I44" s="358"/>
      <c r="J44" s="359"/>
      <c r="K44" s="359"/>
      <c r="L44" s="359"/>
      <c r="M44" s="359"/>
      <c r="N44" s="361"/>
      <c r="O44" s="394">
        <f>SUM(Fluxo_de_Caixa_Janeiro310208[[#This Row],[Janeiro]:[Dezembro]])</f>
        <v>0</v>
      </c>
      <c r="P44" s="140" t="str">
        <f t="shared" si="2"/>
        <v>0,00%</v>
      </c>
      <c r="Q44" s="395" t="s">
        <v>240</v>
      </c>
      <c r="R44" s="32"/>
      <c r="T44" s="505">
        <v>0</v>
      </c>
      <c r="U44" s="579" t="s">
        <v>240</v>
      </c>
    </row>
    <row r="45" spans="1:21" hidden="1" x14ac:dyDescent="0.25">
      <c r="B45" s="51">
        <f>Fluxo_de_Caixa_Janeiro[[#This Row],[Fluxo de Caixa 2026 CTR]]</f>
        <v>0</v>
      </c>
      <c r="C45" s="35">
        <f>Fluxo_de_Caixa_Janeiro[[#This Row],[Janeiro]]</f>
        <v>0</v>
      </c>
      <c r="D45" s="62">
        <f>Fluxo_de_Caixa_Janeiro3[[#This Row],[Fevereiro]]</f>
        <v>0</v>
      </c>
      <c r="E45" s="62">
        <f>Fluxo_de_Caixa_Janeiro34[[#This Row],[Março]]</f>
        <v>0</v>
      </c>
      <c r="F45" s="62">
        <f>Fluxo_de_Caixa_Janeiro345[[#This Row],[ABRIL]]</f>
        <v>0</v>
      </c>
      <c r="G45" s="62">
        <f>Fluxo_de_Caixa_Janeiro3459[[#This Row],[MAIO]]</f>
        <v>0</v>
      </c>
      <c r="H45" s="62">
        <f>Fluxo_de_Caixa_Janeiro345911[[#This Row],[JUNHO]]</f>
        <v>0</v>
      </c>
      <c r="I45" s="35"/>
      <c r="J45" s="62"/>
      <c r="K45" s="62"/>
      <c r="L45" s="62"/>
      <c r="M45" s="62"/>
      <c r="N45" s="119"/>
      <c r="O45" s="214">
        <f>SUM(Fluxo_de_Caixa_Janeiro310208[[#This Row],[Janeiro]:[Dezembro]])</f>
        <v>0</v>
      </c>
      <c r="P45" s="140" t="str">
        <f t="shared" si="2"/>
        <v>0,00%</v>
      </c>
      <c r="Q45" s="63" t="s">
        <v>240</v>
      </c>
      <c r="R45" s="32" t="str">
        <f>IF(Fluxo_de_Caixa_Janeiro310208[[#This Row],[% ACUMULADO  1º SEMEST 2026]]&gt;=Fluxo_de_Caixa_Janeiro310208[[#This Row],[% ACUMULADO  1º SEMEST 2025]],"VERDADEIRO","FALSO")</f>
        <v>VERDADEIRO</v>
      </c>
      <c r="T45" s="504">
        <v>0</v>
      </c>
      <c r="U45" s="579" t="s">
        <v>240</v>
      </c>
    </row>
    <row r="46" spans="1:21" hidden="1" x14ac:dyDescent="0.25">
      <c r="B46" s="51">
        <f>Fluxo_de_Caixa_Janeiro[[#This Row],[Fluxo de Caixa 2026 CTR]]</f>
        <v>0</v>
      </c>
      <c r="C46" s="35">
        <f>Fluxo_de_Caixa_Janeiro[[#This Row],[Janeiro]]</f>
        <v>0</v>
      </c>
      <c r="D46" s="62">
        <f>Fluxo_de_Caixa_Janeiro3[[#This Row],[Fevereiro]]</f>
        <v>0</v>
      </c>
      <c r="E46" s="62">
        <f>Fluxo_de_Caixa_Janeiro34[[#This Row],[Março]]</f>
        <v>0</v>
      </c>
      <c r="F46" s="62">
        <f>Fluxo_de_Caixa_Janeiro345[[#This Row],[ABRIL]]</f>
        <v>0</v>
      </c>
      <c r="G46" s="62">
        <f>Fluxo_de_Caixa_Janeiro3459[[#This Row],[MAIO]]</f>
        <v>0</v>
      </c>
      <c r="H46" s="62">
        <f>Fluxo_de_Caixa_Janeiro345911[[#This Row],[JUNHO]]</f>
        <v>0</v>
      </c>
      <c r="I46" s="35"/>
      <c r="J46" s="62"/>
      <c r="K46" s="62"/>
      <c r="L46" s="62"/>
      <c r="M46" s="62"/>
      <c r="N46" s="119"/>
      <c r="O46" s="214">
        <f>SUM(Fluxo_de_Caixa_Janeiro310208[[#This Row],[Janeiro]:[Dezembro]])</f>
        <v>0</v>
      </c>
      <c r="P46" s="140" t="str">
        <f t="shared" si="2"/>
        <v>0,00%</v>
      </c>
      <c r="Q46" s="63" t="s">
        <v>240</v>
      </c>
      <c r="R46" s="32" t="str">
        <f>IF(Fluxo_de_Caixa_Janeiro310208[[#This Row],[% ACUMULADO  1º SEMEST 2026]]&gt;=Fluxo_de_Caixa_Janeiro310208[[#This Row],[% ACUMULADO  1º SEMEST 2025]],"VERDADEIRO","FALSO")</f>
        <v>VERDADEIRO</v>
      </c>
      <c r="T46" s="504">
        <v>0</v>
      </c>
      <c r="U46" s="579" t="s">
        <v>240</v>
      </c>
    </row>
    <row r="47" spans="1:21" ht="15.75" hidden="1" thickBot="1" x14ac:dyDescent="0.3">
      <c r="B47" s="51">
        <f>Fluxo_de_Caixa_Janeiro[[#This Row],[Fluxo de Caixa 2026 CTR]]</f>
        <v>0</v>
      </c>
      <c r="C47" s="36">
        <f>Fluxo_de_Caixa_Janeiro[[#This Row],[Janeiro]]</f>
        <v>0</v>
      </c>
      <c r="D47" s="82">
        <f>Fluxo_de_Caixa_Janeiro3[[#This Row],[Fevereiro]]</f>
        <v>0</v>
      </c>
      <c r="E47" s="82">
        <f>Fluxo_de_Caixa_Janeiro34[[#This Row],[Março]]</f>
        <v>0</v>
      </c>
      <c r="F47" s="82">
        <f>Fluxo_de_Caixa_Janeiro345[[#This Row],[ABRIL]]</f>
        <v>0</v>
      </c>
      <c r="G47" s="82">
        <f>Fluxo_de_Caixa_Janeiro3459[[#This Row],[MAIO]]</f>
        <v>0</v>
      </c>
      <c r="H47" s="82">
        <f>Fluxo_de_Caixa_Janeiro345911[[#This Row],[JUNHO]]</f>
        <v>0</v>
      </c>
      <c r="I47" s="36"/>
      <c r="J47" s="82"/>
      <c r="K47" s="82"/>
      <c r="L47" s="82"/>
      <c r="M47" s="82"/>
      <c r="N47" s="120"/>
      <c r="O47" s="215">
        <f>SUM(Fluxo_de_Caixa_Janeiro310208[[#This Row],[Janeiro]:[Dezembro]])</f>
        <v>0</v>
      </c>
      <c r="P47" s="141" t="str">
        <f t="shared" si="2"/>
        <v>0,00%</v>
      </c>
      <c r="Q47" s="86" t="s">
        <v>240</v>
      </c>
      <c r="R47" s="32" t="str">
        <f>IF(Fluxo_de_Caixa_Janeiro310208[[#This Row],[% ACUMULADO  1º SEMEST 2026]]&gt;=Fluxo_de_Caixa_Janeiro310208[[#This Row],[% ACUMULADO  1º SEMEST 2025]],"VERDADEIRO","FALSO")</f>
        <v>VERDADEIRO</v>
      </c>
      <c r="T47" s="506">
        <v>0</v>
      </c>
      <c r="U47" s="580" t="s">
        <v>240</v>
      </c>
    </row>
    <row r="48" spans="1:21" s="1" customFormat="1" ht="24" thickBot="1" x14ac:dyDescent="0.4">
      <c r="A48" s="11" t="s">
        <v>55</v>
      </c>
      <c r="B48" s="48" t="str">
        <f>Fluxo_de_Caixa_Janeiro[[#This Row],[Fluxo de Caixa 2026 CTR]]</f>
        <v>1.5. Receita de Garantias</v>
      </c>
      <c r="C48" s="38">
        <f>Fluxo_de_Caixa_Janeiro[[#This Row],[Janeiro]]</f>
        <v>0</v>
      </c>
      <c r="D48" s="87">
        <f>Fluxo_de_Caixa_Janeiro3[[#This Row],[Fevereiro]]</f>
        <v>0</v>
      </c>
      <c r="E48" s="87">
        <f>Fluxo_de_Caixa_Janeiro34[[#This Row],[Março]]</f>
        <v>0</v>
      </c>
      <c r="F48" s="87">
        <f>Fluxo_de_Caixa_Janeiro345[[#This Row],[ABRIL]]</f>
        <v>0</v>
      </c>
      <c r="G48" s="87">
        <f>Fluxo_de_Caixa_Janeiro3459[[#This Row],[MAIO]]</f>
        <v>0</v>
      </c>
      <c r="H48" s="87">
        <f>Fluxo_de_Caixa_Janeiro345911[[#This Row],[JUNHO]]</f>
        <v>0</v>
      </c>
      <c r="I48" s="38"/>
      <c r="J48" s="87"/>
      <c r="K48" s="87"/>
      <c r="L48" s="87"/>
      <c r="M48" s="87"/>
      <c r="N48" s="125"/>
      <c r="O48" s="216">
        <f>SUM(Fluxo_de_Caixa_Janeiro310208[[#This Row],[Janeiro]:[Dezembro]])</f>
        <v>0</v>
      </c>
      <c r="P48" s="19">
        <f>SUM(P49:P51)</f>
        <v>0</v>
      </c>
      <c r="Q48" s="69">
        <v>0</v>
      </c>
      <c r="R48" s="32"/>
      <c r="T48" s="507">
        <v>0</v>
      </c>
      <c r="U48" s="581">
        <v>0</v>
      </c>
    </row>
    <row r="49" spans="1:21" x14ac:dyDescent="0.25">
      <c r="B49" s="49" t="str">
        <f>Fluxo_de_Caixa_Janeiro[[#This Row],[Fluxo de Caixa 2026 CTR]]</f>
        <v>1.2.01. RECEITA EM DINHEIRO</v>
      </c>
      <c r="C49" s="41">
        <f>Fluxo_de_Caixa_Janeiro[[#This Row],[Janeiro]]</f>
        <v>0</v>
      </c>
      <c r="D49" s="81">
        <f>Fluxo_de_Caixa_Janeiro3[[#This Row],[Fevereiro]]</f>
        <v>0</v>
      </c>
      <c r="E49" s="81">
        <f>Fluxo_de_Caixa_Janeiro34[[#This Row],[Março]]</f>
        <v>0</v>
      </c>
      <c r="F49" s="81">
        <f>Fluxo_de_Caixa_Janeiro345[[#This Row],[ABRIL]]</f>
        <v>0</v>
      </c>
      <c r="G49" s="81">
        <f>Fluxo_de_Caixa_Janeiro3459[[#This Row],[MAIO]]</f>
        <v>0</v>
      </c>
      <c r="H49" s="81">
        <f>Fluxo_de_Caixa_Janeiro345911[[#This Row],[JUNHO]]</f>
        <v>0</v>
      </c>
      <c r="I49" s="41"/>
      <c r="J49" s="81"/>
      <c r="K49" s="81"/>
      <c r="L49" s="81"/>
      <c r="M49" s="81"/>
      <c r="N49" s="118"/>
      <c r="O49" s="213">
        <f>SUM(Fluxo_de_Caixa_Janeiro310208[[#This Row],[Janeiro]:[Dezembro]])</f>
        <v>0</v>
      </c>
      <c r="P49" s="29" t="str">
        <f>IF(O49=0,"0,00%",O49/$O$332)</f>
        <v>0,00%</v>
      </c>
      <c r="Q49" s="63" t="s">
        <v>240</v>
      </c>
      <c r="R49" s="32" t="str">
        <f>IF(Fluxo_de_Caixa_Janeiro310208[[#This Row],[% ACUMULADO  1º SEMEST 2026]]&gt;=Fluxo_de_Caixa_Janeiro310208[[#This Row],[% ACUMULADO  1º SEMEST 2025]],"VERDADEIRO","FALSO")</f>
        <v>VERDADEIRO</v>
      </c>
      <c r="T49" s="503">
        <v>0</v>
      </c>
      <c r="U49" s="578" t="s">
        <v>240</v>
      </c>
    </row>
    <row r="50" spans="1:21" ht="15.75" thickBot="1" x14ac:dyDescent="0.3">
      <c r="B50" s="50" t="str">
        <f>Fluxo_de_Caixa_Janeiro[[#This Row],[Fluxo de Caixa 2026 CTR]]</f>
        <v xml:space="preserve">1.2.02. RECEITA EM MERCADORIA </v>
      </c>
      <c r="C50" s="35">
        <f>Fluxo_de_Caixa_Janeiro[[#This Row],[Janeiro]]</f>
        <v>0</v>
      </c>
      <c r="D50" s="62">
        <f>Fluxo_de_Caixa_Janeiro3[[#This Row],[Fevereiro]]</f>
        <v>0</v>
      </c>
      <c r="E50" s="62">
        <f>Fluxo_de_Caixa_Janeiro34[[#This Row],[Março]]</f>
        <v>0</v>
      </c>
      <c r="F50" s="62">
        <f>Fluxo_de_Caixa_Janeiro345[[#This Row],[ABRIL]]</f>
        <v>0</v>
      </c>
      <c r="G50" s="62">
        <f>Fluxo_de_Caixa_Janeiro3459[[#This Row],[MAIO]]</f>
        <v>0</v>
      </c>
      <c r="H50" s="62">
        <f>Fluxo_de_Caixa_Janeiro345911[[#This Row],[JUNHO]]</f>
        <v>0</v>
      </c>
      <c r="I50" s="35"/>
      <c r="J50" s="62"/>
      <c r="K50" s="62"/>
      <c r="L50" s="62"/>
      <c r="M50" s="62"/>
      <c r="N50" s="119"/>
      <c r="O50" s="214">
        <f>SUM(Fluxo_de_Caixa_Janeiro310208[[#This Row],[Janeiro]:[Dezembro]])</f>
        <v>0</v>
      </c>
      <c r="P50" s="140" t="str">
        <f>IF(O50=0,"0,00%",O50/$O$332)</f>
        <v>0,00%</v>
      </c>
      <c r="Q50" s="63" t="s">
        <v>240</v>
      </c>
      <c r="R50" s="32" t="str">
        <f>IF(Fluxo_de_Caixa_Janeiro310208[[#This Row],[% ACUMULADO  1º SEMEST 2026]]&gt;=Fluxo_de_Caixa_Janeiro310208[[#This Row],[% ACUMULADO  1º SEMEST 2025]],"VERDADEIRO","FALSO")</f>
        <v>VERDADEIRO</v>
      </c>
      <c r="T50" s="504">
        <v>0</v>
      </c>
      <c r="U50" s="579" t="s">
        <v>240</v>
      </c>
    </row>
    <row r="51" spans="1:21" ht="15.75" hidden="1" thickBot="1" x14ac:dyDescent="0.3">
      <c r="B51" s="58">
        <f>Fluxo_de_Caixa_Janeiro[[#This Row],[Fluxo de Caixa 2026 CTR]]</f>
        <v>0</v>
      </c>
      <c r="C51" s="36">
        <f>Fluxo_de_Caixa_Janeiro[[#This Row],[Janeiro]]</f>
        <v>0</v>
      </c>
      <c r="D51" s="82">
        <f>Fluxo_de_Caixa_Janeiro3[[#This Row],[Fevereiro]]</f>
        <v>0</v>
      </c>
      <c r="E51" s="82">
        <f>Fluxo_de_Caixa_Janeiro34[[#This Row],[Março]]</f>
        <v>0</v>
      </c>
      <c r="F51" s="82">
        <f>Fluxo_de_Caixa_Janeiro345[[#This Row],[ABRIL]]</f>
        <v>0</v>
      </c>
      <c r="G51" s="82">
        <f>Fluxo_de_Caixa_Janeiro3459[[#This Row],[MAIO]]</f>
        <v>0</v>
      </c>
      <c r="H51" s="82">
        <f>Fluxo_de_Caixa_Janeiro345911[[#This Row],[JUNHO]]</f>
        <v>0</v>
      </c>
      <c r="I51" s="36"/>
      <c r="J51" s="82"/>
      <c r="K51" s="82"/>
      <c r="L51" s="82"/>
      <c r="M51" s="82"/>
      <c r="N51" s="120"/>
      <c r="O51" s="215">
        <f>SUM(Fluxo_de_Caixa_Janeiro310208[[#This Row],[Janeiro]:[Dezembro]])</f>
        <v>0</v>
      </c>
      <c r="P51" s="142" t="str">
        <f>IF(O51=0,"0,00%",O51/$O$332)</f>
        <v>0,00%</v>
      </c>
      <c r="Q51" s="86" t="s">
        <v>240</v>
      </c>
      <c r="R51" s="32" t="str">
        <f>IF(Fluxo_de_Caixa_Janeiro310208[[#This Row],[% ACUMULADO  1º SEMEST 2026]]&gt;=Fluxo_de_Caixa_Janeiro310208[[#This Row],[% ACUMULADO  1º SEMEST 2025]],"VERDADEIRO","FALSO")</f>
        <v>VERDADEIRO</v>
      </c>
      <c r="T51" s="506">
        <v>0</v>
      </c>
      <c r="U51" s="582" t="s">
        <v>240</v>
      </c>
    </row>
    <row r="52" spans="1:21" s="2" customFormat="1" ht="24" thickBot="1" x14ac:dyDescent="0.4">
      <c r="A52" s="12" t="s">
        <v>22</v>
      </c>
      <c r="B52" s="53" t="str">
        <f>Fluxo_de_Caixa_Janeiro[[#This Row],[Fluxo de Caixa 2026 CTR]]</f>
        <v>2.1. Despesa Com Custo de Aquisição</v>
      </c>
      <c r="C52" s="42">
        <f>Fluxo_de_Caixa_Janeiro[[#This Row],[Janeiro]]</f>
        <v>-460642.66</v>
      </c>
      <c r="D52" s="88">
        <f>Fluxo_de_Caixa_Janeiro3[[#This Row],[Fevereiro]]</f>
        <v>-419540.11</v>
      </c>
      <c r="E52" s="88">
        <f>Fluxo_de_Caixa_Janeiro34[[#This Row],[Março]]</f>
        <v>-456490.45000000007</v>
      </c>
      <c r="F52" s="88">
        <f>Fluxo_de_Caixa_Janeiro345[[#This Row],[ABRIL]]</f>
        <v>-376222.97</v>
      </c>
      <c r="G52" s="88">
        <f>Fluxo_de_Caixa_Janeiro3459[[#This Row],[MAIO]]</f>
        <v>-206362.87</v>
      </c>
      <c r="H52" s="88">
        <f>Fluxo_de_Caixa_Janeiro345911[[#This Row],[JUNHO]]</f>
        <v>0</v>
      </c>
      <c r="I52" s="42"/>
      <c r="J52" s="88"/>
      <c r="K52" s="88"/>
      <c r="L52" s="88"/>
      <c r="M52" s="88"/>
      <c r="N52" s="126"/>
      <c r="O52" s="217">
        <f>SUM(Fluxo_de_Caixa_Janeiro310208[[#This Row],[Janeiro]:[Dezembro]])</f>
        <v>-1919259.06</v>
      </c>
      <c r="P52" s="21">
        <f>-IFERROR(O52/$O$27,"0,00")</f>
        <v>0.41412926828566232</v>
      </c>
      <c r="Q52" s="70">
        <v>0.70715038827563381</v>
      </c>
      <c r="R52" s="32" t="str">
        <f>IF(Fluxo_de_Caixa_Janeiro310208[[#This Row],[% ACUMULADO  1º SEMEST 2026]]&lt;=Fluxo_de_Caixa_Janeiro310208[[#This Row],[% ACUMULADO  1º SEMEST 2025]],"VERDADEIRO","FALSO")</f>
        <v>VERDADEIRO</v>
      </c>
      <c r="T52" s="508">
        <v>-4002444.6300000004</v>
      </c>
      <c r="U52" s="583">
        <v>0.70715038827563381</v>
      </c>
    </row>
    <row r="53" spans="1:21" x14ac:dyDescent="0.25">
      <c r="B53" s="166" t="str">
        <f>Fluxo_de_Caixa_Janeiro[[#This Row],[Fluxo de Caixa 2026 CTR]]</f>
        <v>2.1.01.FORNECEDORES DE MERCADORIAS REVENDA</v>
      </c>
      <c r="C53" s="41">
        <f>Fluxo_de_Caixa_Janeiro[[#This Row],[Janeiro]]</f>
        <v>450059.19</v>
      </c>
      <c r="D53" s="81">
        <f>Fluxo_de_Caixa_Janeiro3[[#This Row],[Fevereiro]]</f>
        <v>400361.57</v>
      </c>
      <c r="E53" s="81">
        <f>Fluxo_de_Caixa_Janeiro34[[#This Row],[Março]]</f>
        <v>449846.92000000004</v>
      </c>
      <c r="F53" s="81">
        <f>Fluxo_de_Caixa_Janeiro345[[#This Row],[ABRIL]]</f>
        <v>366608.48</v>
      </c>
      <c r="G53" s="81">
        <f>Fluxo_de_Caixa_Janeiro3459[[#This Row],[MAIO]]</f>
        <v>200802.91</v>
      </c>
      <c r="H53" s="81">
        <f>Fluxo_de_Caixa_Janeiro345911[[#This Row],[JUNHO]]</f>
        <v>0</v>
      </c>
      <c r="I53" s="41"/>
      <c r="J53" s="81"/>
      <c r="K53" s="81"/>
      <c r="L53" s="81"/>
      <c r="M53" s="81"/>
      <c r="N53" s="118"/>
      <c r="O53" s="218">
        <f>SUM(Fluxo_de_Caixa_Janeiro310208[[#This Row],[Janeiro]:[Dezembro]])</f>
        <v>1867679.07</v>
      </c>
      <c r="P53" s="192">
        <f t="shared" ref="P53:P59" si="3">IFERROR(O53/$O$27,"0,00%")</f>
        <v>0.40299956518196473</v>
      </c>
      <c r="Q53" s="71">
        <v>0.68286241080225696</v>
      </c>
      <c r="R53" s="32" t="str">
        <f>IF(Fluxo_de_Caixa_Janeiro310208[[#This Row],[% ACUMULADO  1º SEMEST 2026]]&lt;=Fluxo_de_Caixa_Janeiro310208[[#This Row],[% ACUMULADO  1º SEMEST 2025]],"VERDADEIRO","FALSO")</f>
        <v>VERDADEIRO</v>
      </c>
      <c r="T53" s="509">
        <v>3864975.5900000008</v>
      </c>
      <c r="U53" s="584">
        <v>0.68286241080225696</v>
      </c>
    </row>
    <row r="54" spans="1:21" x14ac:dyDescent="0.25">
      <c r="B54" s="52" t="str">
        <f>Fluxo_de_Caixa_Janeiro[[#This Row],[Fluxo de Caixa 2026 CTR]]</f>
        <v>2.1.02.ADIANT. FORNEC. MERCA. REVENDA</v>
      </c>
      <c r="C54" s="35">
        <f>Fluxo_de_Caixa_Janeiro[[#This Row],[Janeiro]]</f>
        <v>0</v>
      </c>
      <c r="D54" s="62">
        <f>Fluxo_de_Caixa_Janeiro3[[#This Row],[Fevereiro]]</f>
        <v>0</v>
      </c>
      <c r="E54" s="62">
        <f>Fluxo_de_Caixa_Janeiro34[[#This Row],[Março]]</f>
        <v>0</v>
      </c>
      <c r="F54" s="62">
        <f>Fluxo_de_Caixa_Janeiro345[[#This Row],[ABRIL]]</f>
        <v>0</v>
      </c>
      <c r="G54" s="62">
        <f>Fluxo_de_Caixa_Janeiro3459[[#This Row],[MAIO]]</f>
        <v>0</v>
      </c>
      <c r="H54" s="62">
        <f>Fluxo_de_Caixa_Janeiro345911[[#This Row],[JUNHO]]</f>
        <v>0</v>
      </c>
      <c r="I54" s="35"/>
      <c r="J54" s="62"/>
      <c r="K54" s="62"/>
      <c r="L54" s="62"/>
      <c r="M54" s="62"/>
      <c r="N54" s="119"/>
      <c r="O54" s="219">
        <f>SUM(Fluxo_de_Caixa_Janeiro310208[[#This Row],[Janeiro]:[Dezembro]])</f>
        <v>0</v>
      </c>
      <c r="P54" s="192">
        <f t="shared" si="3"/>
        <v>0</v>
      </c>
      <c r="Q54" s="71">
        <v>0</v>
      </c>
      <c r="R54" s="32" t="str">
        <f>IF(Fluxo_de_Caixa_Janeiro310208[[#This Row],[% ACUMULADO  1º SEMEST 2026]]&lt;=Fluxo_de_Caixa_Janeiro310208[[#This Row],[% ACUMULADO  1º SEMEST 2025]],"VERDADEIRO","FALSO")</f>
        <v>VERDADEIRO</v>
      </c>
      <c r="T54" s="510">
        <v>0</v>
      </c>
      <c r="U54" s="584">
        <v>0</v>
      </c>
    </row>
    <row r="55" spans="1:21" x14ac:dyDescent="0.25">
      <c r="B55" s="52" t="str">
        <f>Fluxo_de_Caixa_Janeiro[[#This Row],[Fluxo de Caixa 2026 CTR]]</f>
        <v>2.1.03.TRANSPORTADORA MERCA. REVENDA</v>
      </c>
      <c r="C55" s="35">
        <f>Fluxo_de_Caixa_Janeiro[[#This Row],[Janeiro]]</f>
        <v>10103.469999999999</v>
      </c>
      <c r="D55" s="62">
        <f>Fluxo_de_Caixa_Janeiro3[[#This Row],[Fevereiro]]</f>
        <v>19178.54</v>
      </c>
      <c r="E55" s="62">
        <f>Fluxo_de_Caixa_Janeiro34[[#This Row],[Março]]</f>
        <v>6643.53</v>
      </c>
      <c r="F55" s="62">
        <f>Fluxo_de_Caixa_Janeiro345[[#This Row],[ABRIL]]</f>
        <v>9614.49</v>
      </c>
      <c r="G55" s="62">
        <f>Fluxo_de_Caixa_Janeiro3459[[#This Row],[MAIO]]</f>
        <v>5559.96</v>
      </c>
      <c r="H55" s="62">
        <f>Fluxo_de_Caixa_Janeiro345911[[#This Row],[JUNHO]]</f>
        <v>0</v>
      </c>
      <c r="I55" s="35"/>
      <c r="J55" s="62"/>
      <c r="K55" s="62"/>
      <c r="L55" s="62"/>
      <c r="M55" s="62"/>
      <c r="N55" s="119"/>
      <c r="O55" s="219">
        <f>SUM(Fluxo_de_Caixa_Janeiro310208[[#This Row],[Janeiro]:[Dezembro]])</f>
        <v>51099.99</v>
      </c>
      <c r="P55" s="192">
        <f t="shared" si="3"/>
        <v>1.1026130817433611E-2</v>
      </c>
      <c r="Q55" s="71">
        <v>2.4165379486450048E-2</v>
      </c>
      <c r="R55" s="32" t="str">
        <f>IF(Fluxo_de_Caixa_Janeiro310208[[#This Row],[% ACUMULADO  1º SEMEST 2026]]&lt;=Fluxo_de_Caixa_Janeiro310208[[#This Row],[% ACUMULADO  1º SEMEST 2025]],"VERDADEIRO","FALSO")</f>
        <v>VERDADEIRO</v>
      </c>
      <c r="T55" s="510">
        <v>136775.13999999998</v>
      </c>
      <c r="U55" s="584">
        <v>2.4165379486450048E-2</v>
      </c>
    </row>
    <row r="56" spans="1:21" x14ac:dyDescent="0.25">
      <c r="B56" s="52" t="str">
        <f>Fluxo_de_Caixa_Janeiro[[#This Row],[Fluxo de Caixa 2026 CTR]]</f>
        <v>2.1.04.OUTROS CUSTOS DE MERC.REVENDA</v>
      </c>
      <c r="C56" s="35">
        <f>Fluxo_de_Caixa_Janeiro[[#This Row],[Janeiro]]</f>
        <v>480</v>
      </c>
      <c r="D56" s="62">
        <f>Fluxo_de_Caixa_Janeiro3[[#This Row],[Fevereiro]]</f>
        <v>0</v>
      </c>
      <c r="E56" s="62">
        <f>Fluxo_de_Caixa_Janeiro34[[#This Row],[Março]]</f>
        <v>0</v>
      </c>
      <c r="F56" s="62">
        <f>Fluxo_de_Caixa_Janeiro345[[#This Row],[ABRIL]]</f>
        <v>0</v>
      </c>
      <c r="G56" s="62">
        <f>Fluxo_de_Caixa_Janeiro3459[[#This Row],[MAIO]]</f>
        <v>0</v>
      </c>
      <c r="H56" s="62">
        <f>Fluxo_de_Caixa_Janeiro345911[[#This Row],[JUNHO]]</f>
        <v>0</v>
      </c>
      <c r="I56" s="35"/>
      <c r="J56" s="62"/>
      <c r="K56" s="62"/>
      <c r="L56" s="62"/>
      <c r="M56" s="62"/>
      <c r="N56" s="119"/>
      <c r="O56" s="219">
        <f>SUM(Fluxo_de_Caixa_Janeiro310208[[#This Row],[Janeiro]:[Dezembro]])</f>
        <v>480</v>
      </c>
      <c r="P56" s="192">
        <f t="shared" si="3"/>
        <v>1.0357228626401166E-4</v>
      </c>
      <c r="Q56" s="71">
        <v>1.2259798692692027E-4</v>
      </c>
      <c r="R56" s="32" t="str">
        <f>IF(Fluxo_de_Caixa_Janeiro310208[[#This Row],[% ACUMULADO  1º SEMEST 2026]]&lt;=Fluxo_de_Caixa_Janeiro310208[[#This Row],[% ACUMULADO  1º SEMEST 2025]],"VERDADEIRO","FALSO")</f>
        <v>VERDADEIRO</v>
      </c>
      <c r="T56" s="510">
        <v>693.9</v>
      </c>
      <c r="U56" s="584">
        <v>1.2259798692692027E-4</v>
      </c>
    </row>
    <row r="57" spans="1:21" ht="15.75" thickBot="1" x14ac:dyDescent="0.3">
      <c r="B57" s="52" t="str">
        <f>Fluxo_de_Caixa_Janeiro[[#This Row],[Fluxo de Caixa 2026 CTR]]</f>
        <v>2.1.05.TRANSFE DE MERCAD REVENDA MATRIZ</v>
      </c>
      <c r="C57" s="35">
        <f>Fluxo_de_Caixa_Janeiro[[#This Row],[Janeiro]]</f>
        <v>0</v>
      </c>
      <c r="D57" s="62">
        <f>Fluxo_de_Caixa_Janeiro3[[#This Row],[Fevereiro]]</f>
        <v>0</v>
      </c>
      <c r="E57" s="62">
        <f>Fluxo_de_Caixa_Janeiro34[[#This Row],[Março]]</f>
        <v>0</v>
      </c>
      <c r="F57" s="62">
        <f>Fluxo_de_Caixa_Janeiro345[[#This Row],[ABRIL]]</f>
        <v>0</v>
      </c>
      <c r="G57" s="62">
        <f>Fluxo_de_Caixa_Janeiro3459[[#This Row],[MAIO]]</f>
        <v>0</v>
      </c>
      <c r="H57" s="62">
        <f>Fluxo_de_Caixa_Janeiro345911[[#This Row],[JUNHO]]</f>
        <v>0</v>
      </c>
      <c r="I57" s="35"/>
      <c r="J57" s="62"/>
      <c r="K57" s="62"/>
      <c r="L57" s="62"/>
      <c r="M57" s="62"/>
      <c r="N57" s="119"/>
      <c r="O57" s="219">
        <f>SUM(Fluxo_de_Caixa_Janeiro310208[[#This Row],[Janeiro]:[Dezembro]])</f>
        <v>0</v>
      </c>
      <c r="P57" s="192">
        <f t="shared" si="3"/>
        <v>0</v>
      </c>
      <c r="Q57" s="71">
        <v>0</v>
      </c>
      <c r="R57" s="32" t="str">
        <f>IF(Fluxo_de_Caixa_Janeiro310208[[#This Row],[% ACUMULADO  1º SEMEST 2026]]&lt;=Fluxo_de_Caixa_Janeiro310208[[#This Row],[% ACUMULADO  1º SEMEST 2025]],"VERDADEIRO","FALSO")</f>
        <v>VERDADEIRO</v>
      </c>
      <c r="T57" s="510">
        <v>0</v>
      </c>
      <c r="U57" s="584">
        <v>0</v>
      </c>
    </row>
    <row r="58" spans="1:21" hidden="1" x14ac:dyDescent="0.25">
      <c r="B58" s="52">
        <f>Fluxo_de_Caixa_Janeiro[[#This Row],[Fluxo de Caixa 2026 CTR]]</f>
        <v>0</v>
      </c>
      <c r="C58" s="35">
        <f>Fluxo_de_Caixa_Janeiro[[#This Row],[Janeiro]]</f>
        <v>0</v>
      </c>
      <c r="D58" s="62">
        <f>Fluxo_de_Caixa_Janeiro3[[#This Row],[Fevereiro]]</f>
        <v>0</v>
      </c>
      <c r="E58" s="62">
        <f>Fluxo_de_Caixa_Janeiro34[[#This Row],[Março]]</f>
        <v>0</v>
      </c>
      <c r="F58" s="62">
        <f>Fluxo_de_Caixa_Janeiro345[[#This Row],[ABRIL]]</f>
        <v>0</v>
      </c>
      <c r="G58" s="62">
        <f>Fluxo_de_Caixa_Janeiro3459[[#This Row],[MAIO]]</f>
        <v>0</v>
      </c>
      <c r="H58" s="62">
        <f>Fluxo_de_Caixa_Janeiro345911[[#This Row],[JUNHO]]</f>
        <v>0</v>
      </c>
      <c r="I58" s="35"/>
      <c r="J58" s="62"/>
      <c r="K58" s="62"/>
      <c r="L58" s="62"/>
      <c r="M58" s="62"/>
      <c r="N58" s="119"/>
      <c r="O58" s="219">
        <f>SUM(Fluxo_de_Caixa_Janeiro310208[[#This Row],[Janeiro]:[Dezembro]])</f>
        <v>0</v>
      </c>
      <c r="P58" s="192">
        <f t="shared" si="3"/>
        <v>0</v>
      </c>
      <c r="Q58" s="71">
        <v>0</v>
      </c>
      <c r="R58" s="32" t="str">
        <f>IF(Fluxo_de_Caixa_Janeiro310208[[#This Row],[% ACUMULADO  1º SEMEST 2026]]&lt;=Fluxo_de_Caixa_Janeiro310208[[#This Row],[% ACUMULADO  1º SEMEST 2025]],"VERDADEIRO","FALSO")</f>
        <v>VERDADEIRO</v>
      </c>
      <c r="T58" s="510">
        <v>0</v>
      </c>
      <c r="U58" s="584">
        <v>0</v>
      </c>
    </row>
    <row r="59" spans="1:21" ht="15.75" hidden="1" thickBot="1" x14ac:dyDescent="0.3">
      <c r="B59" s="167">
        <f>Fluxo_de_Caixa_Janeiro[[#This Row],[Fluxo de Caixa 2026 CTR]]</f>
        <v>0</v>
      </c>
      <c r="C59" s="36">
        <f>Fluxo_de_Caixa_Janeiro[[#This Row],[Janeiro]]</f>
        <v>0</v>
      </c>
      <c r="D59" s="82">
        <f>Fluxo_de_Caixa_Janeiro3[[#This Row],[Fevereiro]]</f>
        <v>0</v>
      </c>
      <c r="E59" s="82">
        <f>Fluxo_de_Caixa_Janeiro34[[#This Row],[Março]]</f>
        <v>0</v>
      </c>
      <c r="F59" s="82">
        <f>Fluxo_de_Caixa_Janeiro345[[#This Row],[ABRIL]]</f>
        <v>0</v>
      </c>
      <c r="G59" s="82">
        <f>Fluxo_de_Caixa_Janeiro3459[[#This Row],[MAIO]]</f>
        <v>0</v>
      </c>
      <c r="H59" s="82">
        <f>Fluxo_de_Caixa_Janeiro345911[[#This Row],[JUNHO]]</f>
        <v>0</v>
      </c>
      <c r="I59" s="36"/>
      <c r="J59" s="82"/>
      <c r="K59" s="82"/>
      <c r="L59" s="82"/>
      <c r="M59" s="82"/>
      <c r="N59" s="120"/>
      <c r="O59" s="220">
        <f>SUM(Fluxo_de_Caixa_Janeiro310208[[#This Row],[Janeiro]:[Dezembro]])</f>
        <v>0</v>
      </c>
      <c r="P59" s="192">
        <f t="shared" si="3"/>
        <v>0</v>
      </c>
      <c r="Q59" s="89">
        <v>0</v>
      </c>
      <c r="R59" s="32" t="str">
        <f>IF(Fluxo_de_Caixa_Janeiro310208[[#This Row],[% ACUMULADO  1º SEMEST 2026]]&lt;=Fluxo_de_Caixa_Janeiro310208[[#This Row],[% ACUMULADO  1º SEMEST 2025]],"VERDADEIRO","FALSO")</f>
        <v>VERDADEIRO</v>
      </c>
      <c r="T59" s="511">
        <v>0</v>
      </c>
      <c r="U59" s="584">
        <v>0</v>
      </c>
    </row>
    <row r="60" spans="1:21" s="2" customFormat="1" ht="24" thickBot="1" x14ac:dyDescent="0.4">
      <c r="A60" s="12" t="s">
        <v>10</v>
      </c>
      <c r="B60" s="53" t="str">
        <f>Fluxo_de_Caixa_Janeiro[[#This Row],[Fluxo de Caixa 2026 CTR]]</f>
        <v>2.2. Inadimplência e Perdas</v>
      </c>
      <c r="C60" s="42">
        <f>Fluxo_de_Caixa_Janeiro[[#This Row],[Janeiro]]</f>
        <v>0</v>
      </c>
      <c r="D60" s="88">
        <f>Fluxo_de_Caixa_Janeiro3[[#This Row],[Fevereiro]]</f>
        <v>-57235.670000000006</v>
      </c>
      <c r="E60" s="88">
        <f>Fluxo_de_Caixa_Janeiro34[[#This Row],[Março]]</f>
        <v>0</v>
      </c>
      <c r="F60" s="88">
        <f>Fluxo_de_Caixa_Janeiro345[[#This Row],[ABRIL]]</f>
        <v>0</v>
      </c>
      <c r="G60" s="88">
        <f>Fluxo_de_Caixa_Janeiro3459[[#This Row],[MAIO]]</f>
        <v>-4302.38</v>
      </c>
      <c r="H60" s="88">
        <f>Fluxo_de_Caixa_Janeiro345911[[#This Row],[JUNHO]]</f>
        <v>0</v>
      </c>
      <c r="I60" s="42"/>
      <c r="J60" s="88"/>
      <c r="K60" s="88"/>
      <c r="L60" s="88"/>
      <c r="M60" s="88"/>
      <c r="N60" s="126"/>
      <c r="O60" s="217">
        <f>SUM(Fluxo_de_Caixa_Janeiro310208[[#This Row],[Janeiro]:[Dezembro]])</f>
        <v>-61538.05</v>
      </c>
      <c r="P60" s="21">
        <f>-IFERROR(O60/$O$27,"0,00")</f>
        <v>1.327840943901888E-2</v>
      </c>
      <c r="Q60" s="70">
        <v>1.4566757468741712E-3</v>
      </c>
      <c r="R60" s="32" t="str">
        <f>IF(Fluxo_de_Caixa_Janeiro310208[[#This Row],[% ACUMULADO  1º SEMEST 2026]]&lt;=Fluxo_de_Caixa_Janeiro310208[[#This Row],[% ACUMULADO  1º SEMEST 2025]],"VERDADEIRO","FALSO")</f>
        <v>FALSO</v>
      </c>
      <c r="T60" s="508">
        <v>-8244.73</v>
      </c>
      <c r="U60" s="583">
        <v>1.4566757468741712E-3</v>
      </c>
    </row>
    <row r="61" spans="1:21" x14ac:dyDescent="0.25">
      <c r="B61" s="166" t="str">
        <f>Fluxo_de_Caixa_Janeiro[[#This Row],[Fluxo de Caixa 2026 CTR]]</f>
        <v>2.2.01.CONTAS PERDIDAS/NÃO PAGAS</v>
      </c>
      <c r="C61" s="41">
        <f>Fluxo_de_Caixa_Janeiro[[#This Row],[Janeiro]]</f>
        <v>0</v>
      </c>
      <c r="D61" s="81">
        <f>Fluxo_de_Caixa_Janeiro3[[#This Row],[Fevereiro]]</f>
        <v>57235.670000000006</v>
      </c>
      <c r="E61" s="81">
        <f>Fluxo_de_Caixa_Janeiro34[[#This Row],[Março]]</f>
        <v>0</v>
      </c>
      <c r="F61" s="81">
        <f>Fluxo_de_Caixa_Janeiro345[[#This Row],[ABRIL]]</f>
        <v>0</v>
      </c>
      <c r="G61" s="81">
        <f>Fluxo_de_Caixa_Janeiro3459[[#This Row],[MAIO]]</f>
        <v>0</v>
      </c>
      <c r="H61" s="81">
        <f>Fluxo_de_Caixa_Janeiro345911[[#This Row],[JUNHO]]</f>
        <v>0</v>
      </c>
      <c r="I61" s="41"/>
      <c r="J61" s="81"/>
      <c r="K61" s="81"/>
      <c r="L61" s="81"/>
      <c r="M61" s="81"/>
      <c r="N61" s="118"/>
      <c r="O61" s="218">
        <f>SUM(Fluxo_de_Caixa_Janeiro310208[[#This Row],[Janeiro]:[Dezembro]])</f>
        <v>57235.670000000006</v>
      </c>
      <c r="P61" s="192">
        <f t="shared" ref="P61:P69" si="4">IFERROR(O61/$O$27,"0,00%")</f>
        <v>1.2350060828651052E-2</v>
      </c>
      <c r="Q61" s="71">
        <v>1.4566757468741712E-3</v>
      </c>
      <c r="R61" s="32" t="str">
        <f>IF(Fluxo_de_Caixa_Janeiro310208[[#This Row],[% ACUMULADO  1º SEMEST 2026]]&lt;=Fluxo_de_Caixa_Janeiro310208[[#This Row],[% ACUMULADO  1º SEMEST 2025]],"VERDADEIRO","FALSO")</f>
        <v>FALSO</v>
      </c>
      <c r="T61" s="509">
        <v>8244.73</v>
      </c>
      <c r="U61" s="584">
        <v>1.4566757468741712E-3</v>
      </c>
    </row>
    <row r="62" spans="1:21" x14ac:dyDescent="0.25">
      <c r="B62" s="52" t="str">
        <f>Fluxo_de_Caixa_Janeiro[[#This Row],[Fluxo de Caixa 2026 CTR]]</f>
        <v>2.2.02.BOLETOS DESCONTADOS DEVOLVIDOS</v>
      </c>
      <c r="C62" s="35">
        <f>Fluxo_de_Caixa_Janeiro[[#This Row],[Janeiro]]</f>
        <v>0</v>
      </c>
      <c r="D62" s="62">
        <f>Fluxo_de_Caixa_Janeiro3[[#This Row],[Fevereiro]]</f>
        <v>0</v>
      </c>
      <c r="E62" s="62">
        <f>Fluxo_de_Caixa_Janeiro34[[#This Row],[Março]]</f>
        <v>0</v>
      </c>
      <c r="F62" s="62">
        <f>Fluxo_de_Caixa_Janeiro345[[#This Row],[ABRIL]]</f>
        <v>0</v>
      </c>
      <c r="G62" s="62">
        <f>Fluxo_de_Caixa_Janeiro3459[[#This Row],[MAIO]]</f>
        <v>0</v>
      </c>
      <c r="H62" s="62">
        <f>Fluxo_de_Caixa_Janeiro345911[[#This Row],[JUNHO]]</f>
        <v>0</v>
      </c>
      <c r="I62" s="35"/>
      <c r="J62" s="62"/>
      <c r="K62" s="62"/>
      <c r="L62" s="62"/>
      <c r="M62" s="62"/>
      <c r="N62" s="119"/>
      <c r="O62" s="219">
        <f>SUM(Fluxo_de_Caixa_Janeiro310208[[#This Row],[Janeiro]:[Dezembro]])</f>
        <v>0</v>
      </c>
      <c r="P62" s="192">
        <f t="shared" si="4"/>
        <v>0</v>
      </c>
      <c r="Q62" s="72">
        <v>0</v>
      </c>
      <c r="R62" s="32" t="str">
        <f>IF(Fluxo_de_Caixa_Janeiro310208[[#This Row],[% ACUMULADO  1º SEMEST 2026]]&lt;=Fluxo_de_Caixa_Janeiro310208[[#This Row],[% ACUMULADO  1º SEMEST 2025]],"VERDADEIRO","FALSO")</f>
        <v>VERDADEIRO</v>
      </c>
      <c r="T62" s="510">
        <v>0</v>
      </c>
      <c r="U62" s="584">
        <v>0</v>
      </c>
    </row>
    <row r="63" spans="1:21" x14ac:dyDescent="0.25">
      <c r="B63" s="52" t="str">
        <f>Fluxo_de_Caixa_Janeiro[[#This Row],[Fluxo de Caixa 2026 CTR]]</f>
        <v>2.2.03.CHEQUES DEVOLVIDOS</v>
      </c>
      <c r="C63" s="35">
        <f>Fluxo_de_Caixa_Janeiro[[#This Row],[Janeiro]]</f>
        <v>0</v>
      </c>
      <c r="D63" s="62">
        <f>Fluxo_de_Caixa_Janeiro3[[#This Row],[Fevereiro]]</f>
        <v>0</v>
      </c>
      <c r="E63" s="62">
        <f>Fluxo_de_Caixa_Janeiro34[[#This Row],[Março]]</f>
        <v>0</v>
      </c>
      <c r="F63" s="62">
        <f>Fluxo_de_Caixa_Janeiro345[[#This Row],[ABRIL]]</f>
        <v>0</v>
      </c>
      <c r="G63" s="62">
        <f>Fluxo_de_Caixa_Janeiro3459[[#This Row],[MAIO]]</f>
        <v>0</v>
      </c>
      <c r="H63" s="62">
        <f>Fluxo_de_Caixa_Janeiro345911[[#This Row],[JUNHO]]</f>
        <v>0</v>
      </c>
      <c r="I63" s="35"/>
      <c r="J63" s="62"/>
      <c r="K63" s="62"/>
      <c r="L63" s="62"/>
      <c r="M63" s="62"/>
      <c r="N63" s="119"/>
      <c r="O63" s="219">
        <f>SUM(Fluxo_de_Caixa_Janeiro310208[[#This Row],[Janeiro]:[Dezembro]])</f>
        <v>0</v>
      </c>
      <c r="P63" s="192">
        <f t="shared" si="4"/>
        <v>0</v>
      </c>
      <c r="Q63" s="72">
        <v>0</v>
      </c>
      <c r="R63" s="32" t="str">
        <f>IF(Fluxo_de_Caixa_Janeiro310208[[#This Row],[% ACUMULADO  1º SEMEST 2026]]&lt;=Fluxo_de_Caixa_Janeiro310208[[#This Row],[% ACUMULADO  1º SEMEST 2025]],"VERDADEIRO","FALSO")</f>
        <v>VERDADEIRO</v>
      </c>
      <c r="T63" s="510">
        <v>0</v>
      </c>
      <c r="U63" s="584">
        <v>0</v>
      </c>
    </row>
    <row r="64" spans="1:21" x14ac:dyDescent="0.25">
      <c r="B64" s="52" t="str">
        <f>Fluxo_de_Caixa_Janeiro[[#This Row],[Fluxo de Caixa 2026 CTR]]</f>
        <v>2.2.04.BOLETOS DESCONTADOS DEVOLVIDOS</v>
      </c>
      <c r="C64" s="35">
        <f>Fluxo_de_Caixa_Janeiro[[#This Row],[Janeiro]]</f>
        <v>0</v>
      </c>
      <c r="D64" s="62">
        <f>Fluxo_de_Caixa_Janeiro3[[#This Row],[Fevereiro]]</f>
        <v>0</v>
      </c>
      <c r="E64" s="62">
        <f>Fluxo_de_Caixa_Janeiro34[[#This Row],[Março]]</f>
        <v>0</v>
      </c>
      <c r="F64" s="62">
        <f>Fluxo_de_Caixa_Janeiro345[[#This Row],[ABRIL]]</f>
        <v>0</v>
      </c>
      <c r="G64" s="62">
        <f>Fluxo_de_Caixa_Janeiro3459[[#This Row],[MAIO]]</f>
        <v>0</v>
      </c>
      <c r="H64" s="62">
        <f>Fluxo_de_Caixa_Janeiro345911[[#This Row],[JUNHO]]</f>
        <v>0</v>
      </c>
      <c r="I64" s="35"/>
      <c r="J64" s="62"/>
      <c r="K64" s="62"/>
      <c r="L64" s="62"/>
      <c r="M64" s="62"/>
      <c r="N64" s="119"/>
      <c r="O64" s="219">
        <f>SUM(Fluxo_de_Caixa_Janeiro310208[[#This Row],[Janeiro]:[Dezembro]])</f>
        <v>0</v>
      </c>
      <c r="P64" s="192">
        <f t="shared" si="4"/>
        <v>0</v>
      </c>
      <c r="Q64" s="72">
        <v>0</v>
      </c>
      <c r="R64" s="32" t="str">
        <f>IF(Fluxo_de_Caixa_Janeiro310208[[#This Row],[% ACUMULADO  1º SEMEST 2026]]&lt;=Fluxo_de_Caixa_Janeiro310208[[#This Row],[% ACUMULADO  1º SEMEST 2025]],"VERDADEIRO","FALSO")</f>
        <v>VERDADEIRO</v>
      </c>
      <c r="T64" s="510">
        <v>0</v>
      </c>
      <c r="U64" s="584">
        <v>0</v>
      </c>
    </row>
    <row r="65" spans="1:21" ht="15.75" thickBot="1" x14ac:dyDescent="0.3">
      <c r="B65" s="52" t="str">
        <f>Fluxo_de_Caixa_Janeiro[[#This Row],[Fluxo de Caixa 2026 CTR]]</f>
        <v>2.2.05.PERDA,  ROUBO  E  DETERIORAÇÃO</v>
      </c>
      <c r="C65" s="35">
        <f>Fluxo_de_Caixa_Janeiro[[#This Row],[Janeiro]]</f>
        <v>0</v>
      </c>
      <c r="D65" s="62">
        <f>Fluxo_de_Caixa_Janeiro3[[#This Row],[Fevereiro]]</f>
        <v>0</v>
      </c>
      <c r="E65" s="62">
        <f>Fluxo_de_Caixa_Janeiro34[[#This Row],[Março]]</f>
        <v>0</v>
      </c>
      <c r="F65" s="62">
        <f>Fluxo_de_Caixa_Janeiro345[[#This Row],[ABRIL]]</f>
        <v>0</v>
      </c>
      <c r="G65" s="62">
        <f>Fluxo_de_Caixa_Janeiro3459[[#This Row],[MAIO]]</f>
        <v>4302.38</v>
      </c>
      <c r="H65" s="62">
        <f>Fluxo_de_Caixa_Janeiro345911[[#This Row],[JUNHO]]</f>
        <v>0</v>
      </c>
      <c r="I65" s="35"/>
      <c r="J65" s="62"/>
      <c r="K65" s="62"/>
      <c r="L65" s="62"/>
      <c r="M65" s="62"/>
      <c r="N65" s="119"/>
      <c r="O65" s="219">
        <f>SUM(Fluxo_de_Caixa_Janeiro310208[[#This Row],[Janeiro]:[Dezembro]])</f>
        <v>4302.38</v>
      </c>
      <c r="P65" s="192">
        <f t="shared" si="4"/>
        <v>9.2834861036783013E-4</v>
      </c>
      <c r="Q65" s="72">
        <v>0</v>
      </c>
      <c r="R65" s="32" t="str">
        <f>IF(Fluxo_de_Caixa_Janeiro310208[[#This Row],[% ACUMULADO  1º SEMEST 2026]]&lt;=Fluxo_de_Caixa_Janeiro310208[[#This Row],[% ACUMULADO  1º SEMEST 2025]],"VERDADEIRO","FALSO")</f>
        <v>FALSO</v>
      </c>
      <c r="T65" s="510">
        <v>0</v>
      </c>
      <c r="U65" s="584">
        <v>0</v>
      </c>
    </row>
    <row r="66" spans="1:21" hidden="1" x14ac:dyDescent="0.25">
      <c r="B66" s="52">
        <f>Fluxo_de_Caixa_Janeiro[[#This Row],[Fluxo de Caixa 2026 CTR]]</f>
        <v>0</v>
      </c>
      <c r="C66" s="35">
        <f>Fluxo_de_Caixa_Janeiro[[#This Row],[Janeiro]]</f>
        <v>0</v>
      </c>
      <c r="D66" s="62">
        <f>Fluxo_de_Caixa_Janeiro3[[#This Row],[Fevereiro]]</f>
        <v>0</v>
      </c>
      <c r="E66" s="62">
        <f>Fluxo_de_Caixa_Janeiro34[[#This Row],[Março]]</f>
        <v>0</v>
      </c>
      <c r="F66" s="62">
        <f>Fluxo_de_Caixa_Janeiro345[[#This Row],[ABRIL]]</f>
        <v>0</v>
      </c>
      <c r="G66" s="62">
        <f>Fluxo_de_Caixa_Janeiro3459[[#This Row],[MAIO]]</f>
        <v>0</v>
      </c>
      <c r="H66" s="62">
        <f>Fluxo_de_Caixa_Janeiro345911[[#This Row],[JUNHO]]</f>
        <v>0</v>
      </c>
      <c r="I66" s="35"/>
      <c r="J66" s="62"/>
      <c r="K66" s="62"/>
      <c r="L66" s="62"/>
      <c r="M66" s="62"/>
      <c r="N66" s="119"/>
      <c r="O66" s="219">
        <f>SUM(Fluxo_de_Caixa_Janeiro310208[[#This Row],[Janeiro]:[Dezembro]])</f>
        <v>0</v>
      </c>
      <c r="P66" s="192">
        <f t="shared" si="4"/>
        <v>0</v>
      </c>
      <c r="Q66" s="72">
        <v>0</v>
      </c>
      <c r="R66" s="32" t="str">
        <f>IF(Fluxo_de_Caixa_Janeiro310208[[#This Row],[% ACUMULADO  1º SEMEST 2026]]&lt;=Fluxo_de_Caixa_Janeiro310208[[#This Row],[% ACUMULADO  1º SEMEST 2025]],"VERDADEIRO","FALSO")</f>
        <v>VERDADEIRO</v>
      </c>
      <c r="T66" s="510">
        <v>0</v>
      </c>
      <c r="U66" s="584">
        <v>0</v>
      </c>
    </row>
    <row r="67" spans="1:21" hidden="1" x14ac:dyDescent="0.25">
      <c r="B67" s="52">
        <f>Fluxo_de_Caixa_Janeiro[[#This Row],[Fluxo de Caixa 2026 CTR]]</f>
        <v>0</v>
      </c>
      <c r="C67" s="35">
        <f>Fluxo_de_Caixa_Janeiro[[#This Row],[Janeiro]]</f>
        <v>0</v>
      </c>
      <c r="D67" s="62">
        <f>Fluxo_de_Caixa_Janeiro3[[#This Row],[Fevereiro]]</f>
        <v>0</v>
      </c>
      <c r="E67" s="62">
        <f>Fluxo_de_Caixa_Janeiro34[[#This Row],[Março]]</f>
        <v>0</v>
      </c>
      <c r="F67" s="62">
        <f>Fluxo_de_Caixa_Janeiro345[[#This Row],[ABRIL]]</f>
        <v>0</v>
      </c>
      <c r="G67" s="62">
        <f>Fluxo_de_Caixa_Janeiro3459[[#This Row],[MAIO]]</f>
        <v>0</v>
      </c>
      <c r="H67" s="62">
        <f>Fluxo_de_Caixa_Janeiro345911[[#This Row],[JUNHO]]</f>
        <v>0</v>
      </c>
      <c r="I67" s="35"/>
      <c r="J67" s="62"/>
      <c r="K67" s="62"/>
      <c r="L67" s="62"/>
      <c r="M67" s="62"/>
      <c r="N67" s="119"/>
      <c r="O67" s="219">
        <f>SUM(Fluxo_de_Caixa_Janeiro310208[[#This Row],[Janeiro]:[Dezembro]])</f>
        <v>0</v>
      </c>
      <c r="P67" s="192">
        <f t="shared" si="4"/>
        <v>0</v>
      </c>
      <c r="Q67" s="72">
        <v>0</v>
      </c>
      <c r="R67" s="32" t="str">
        <f>IF(Fluxo_de_Caixa_Janeiro310208[[#This Row],[% ACUMULADO  1º SEMEST 2026]]&lt;=Fluxo_de_Caixa_Janeiro310208[[#This Row],[% ACUMULADO  1º SEMEST 2025]],"VERDADEIRO","FALSO")</f>
        <v>VERDADEIRO</v>
      </c>
      <c r="T67" s="510">
        <v>0</v>
      </c>
      <c r="U67" s="584">
        <v>0</v>
      </c>
    </row>
    <row r="68" spans="1:21" hidden="1" x14ac:dyDescent="0.25">
      <c r="B68" s="52">
        <f>Fluxo_de_Caixa_Janeiro[[#This Row],[Fluxo de Caixa 2026 CTR]]</f>
        <v>0</v>
      </c>
      <c r="C68" s="35">
        <f>Fluxo_de_Caixa_Janeiro[[#This Row],[Janeiro]]</f>
        <v>0</v>
      </c>
      <c r="D68" s="62">
        <f>Fluxo_de_Caixa_Janeiro3[[#This Row],[Fevereiro]]</f>
        <v>0</v>
      </c>
      <c r="E68" s="62">
        <f>Fluxo_de_Caixa_Janeiro34[[#This Row],[Março]]</f>
        <v>0</v>
      </c>
      <c r="F68" s="62">
        <f>Fluxo_de_Caixa_Janeiro345[[#This Row],[ABRIL]]</f>
        <v>0</v>
      </c>
      <c r="G68" s="62">
        <f>Fluxo_de_Caixa_Janeiro3459[[#This Row],[MAIO]]</f>
        <v>0</v>
      </c>
      <c r="H68" s="62">
        <f>Fluxo_de_Caixa_Janeiro345911[[#This Row],[JUNHO]]</f>
        <v>0</v>
      </c>
      <c r="I68" s="35"/>
      <c r="J68" s="62"/>
      <c r="K68" s="62"/>
      <c r="L68" s="62"/>
      <c r="M68" s="62"/>
      <c r="N68" s="119"/>
      <c r="O68" s="219">
        <f>SUM(Fluxo_de_Caixa_Janeiro310208[[#This Row],[Janeiro]:[Dezembro]])</f>
        <v>0</v>
      </c>
      <c r="P68" s="192">
        <f t="shared" si="4"/>
        <v>0</v>
      </c>
      <c r="Q68" s="72">
        <v>0</v>
      </c>
      <c r="R68" s="32" t="str">
        <f>IF(Fluxo_de_Caixa_Janeiro310208[[#This Row],[% ACUMULADO  1º SEMEST 2026]]&lt;=Fluxo_de_Caixa_Janeiro310208[[#This Row],[% ACUMULADO  1º SEMEST 2025]],"VERDADEIRO","FALSO")</f>
        <v>VERDADEIRO</v>
      </c>
      <c r="T68" s="510">
        <v>0</v>
      </c>
      <c r="U68" s="584">
        <v>0</v>
      </c>
    </row>
    <row r="69" spans="1:21" ht="15.75" hidden="1" thickBot="1" x14ac:dyDescent="0.3">
      <c r="B69" s="167">
        <f>Fluxo_de_Caixa_Janeiro[[#This Row],[Fluxo de Caixa 2026 CTR]]</f>
        <v>0</v>
      </c>
      <c r="C69" s="36">
        <f>Fluxo_de_Caixa_Janeiro[[#This Row],[Janeiro]]</f>
        <v>0</v>
      </c>
      <c r="D69" s="82">
        <f>Fluxo_de_Caixa_Janeiro3[[#This Row],[Fevereiro]]</f>
        <v>0</v>
      </c>
      <c r="E69" s="82">
        <f>Fluxo_de_Caixa_Janeiro34[[#This Row],[Março]]</f>
        <v>0</v>
      </c>
      <c r="F69" s="82">
        <f>Fluxo_de_Caixa_Janeiro345[[#This Row],[ABRIL]]</f>
        <v>0</v>
      </c>
      <c r="G69" s="82">
        <f>Fluxo_de_Caixa_Janeiro3459[[#This Row],[MAIO]]</f>
        <v>0</v>
      </c>
      <c r="H69" s="82">
        <f>Fluxo_de_Caixa_Janeiro345911[[#This Row],[JUNHO]]</f>
        <v>0</v>
      </c>
      <c r="I69" s="36"/>
      <c r="J69" s="82"/>
      <c r="K69" s="82"/>
      <c r="L69" s="82"/>
      <c r="M69" s="82"/>
      <c r="N69" s="120"/>
      <c r="O69" s="220">
        <f>SUM(Fluxo_de_Caixa_Janeiro310208[[#This Row],[Janeiro]:[Dezembro]])</f>
        <v>0</v>
      </c>
      <c r="P69" s="192">
        <f t="shared" si="4"/>
        <v>0</v>
      </c>
      <c r="Q69" s="90">
        <v>0</v>
      </c>
      <c r="R69" s="32" t="str">
        <f>IF(Fluxo_de_Caixa_Janeiro310208[[#This Row],[% ACUMULADO  1º SEMEST 2026]]&lt;=Fluxo_de_Caixa_Janeiro310208[[#This Row],[% ACUMULADO  1º SEMEST 2025]],"VERDADEIRO","FALSO")</f>
        <v>VERDADEIRO</v>
      </c>
      <c r="T69" s="511">
        <v>0</v>
      </c>
      <c r="U69" s="584">
        <v>0</v>
      </c>
    </row>
    <row r="70" spans="1:21" s="3" customFormat="1" ht="24" thickBot="1" x14ac:dyDescent="0.4">
      <c r="A70" s="13" t="s">
        <v>9</v>
      </c>
      <c r="B70" s="53" t="str">
        <f>Fluxo_de_Caixa_Janeiro[[#This Row],[Fluxo de Caixa 2026 CTR]]</f>
        <v>2.3. Impostos</v>
      </c>
      <c r="C70" s="43">
        <f>Fluxo_de_Caixa_Janeiro[[#This Row],[Janeiro]]</f>
        <v>-57986.559999999998</v>
      </c>
      <c r="D70" s="91">
        <f>Fluxo_de_Caixa_Janeiro3[[#This Row],[Fevereiro]]</f>
        <v>-176996.86</v>
      </c>
      <c r="E70" s="91">
        <f>Fluxo_de_Caixa_Janeiro34[[#This Row],[Março]]</f>
        <v>-73559.849999999991</v>
      </c>
      <c r="F70" s="91">
        <f>Fluxo_de_Caixa_Janeiro345[[#This Row],[ABRIL]]</f>
        <v>-68045.709999999992</v>
      </c>
      <c r="G70" s="91">
        <f>Fluxo_de_Caixa_Janeiro3459[[#This Row],[MAIO]]</f>
        <v>-48882.16</v>
      </c>
      <c r="H70" s="91">
        <f>Fluxo_de_Caixa_Janeiro345911[[#This Row],[JUNHO]]</f>
        <v>0</v>
      </c>
      <c r="I70" s="43"/>
      <c r="J70" s="91"/>
      <c r="K70" s="91"/>
      <c r="L70" s="91"/>
      <c r="M70" s="91"/>
      <c r="N70" s="127"/>
      <c r="O70" s="217">
        <f>SUM(Fluxo_de_Caixa_Janeiro310208[[#This Row],[Janeiro]:[Dezembro]])</f>
        <v>-425471.14</v>
      </c>
      <c r="P70" s="21">
        <f>-IFERROR(O70/$O$27,"0,00")</f>
        <v>9.1806288977407044E-2</v>
      </c>
      <c r="Q70" s="73">
        <v>8.1102206185492284E-2</v>
      </c>
      <c r="R70" s="32" t="str">
        <f>IF(Fluxo_de_Caixa_Janeiro310208[[#This Row],[% ACUMULADO  1º SEMEST 2026]]&lt;=Fluxo_de_Caixa_Janeiro310208[[#This Row],[% ACUMULADO  1º SEMEST 2025]],"VERDADEIRO","FALSO")</f>
        <v>FALSO</v>
      </c>
      <c r="T70" s="508">
        <v>-459035.44</v>
      </c>
      <c r="U70" s="583">
        <v>8.1102206185492284E-2</v>
      </c>
    </row>
    <row r="71" spans="1:21" hidden="1" x14ac:dyDescent="0.25">
      <c r="B71" s="272">
        <f>Fluxo_de_Caixa_Janeiro[[#This Row],[Fluxo de Caixa 2026 CTR]]</f>
        <v>0</v>
      </c>
      <c r="C71" s="41">
        <f>Fluxo_de_Caixa_Janeiro[[#This Row],[Janeiro]]</f>
        <v>0</v>
      </c>
      <c r="D71" s="81">
        <f>Fluxo_de_Caixa_Janeiro3[[#This Row],[Fevereiro]]</f>
        <v>0</v>
      </c>
      <c r="E71" s="81">
        <f>Fluxo_de_Caixa_Janeiro34[[#This Row],[Março]]</f>
        <v>0</v>
      </c>
      <c r="F71" s="81">
        <f>Fluxo_de_Caixa_Janeiro345[[#This Row],[ABRIL]]</f>
        <v>0</v>
      </c>
      <c r="G71" s="81">
        <f>Fluxo_de_Caixa_Janeiro3459[[#This Row],[MAIO]]</f>
        <v>0</v>
      </c>
      <c r="H71" s="81">
        <f>Fluxo_de_Caixa_Janeiro345911[[#This Row],[JUNHO]]</f>
        <v>0</v>
      </c>
      <c r="I71" s="41"/>
      <c r="J71" s="81"/>
      <c r="K71" s="81"/>
      <c r="L71" s="81"/>
      <c r="M71" s="81"/>
      <c r="N71" s="118"/>
      <c r="O71" s="218">
        <f>SUM(Fluxo_de_Caixa_Janeiro310208[[#This Row],[Janeiro]:[Dezembro]])</f>
        <v>0</v>
      </c>
      <c r="P71" s="192">
        <f t="shared" ref="P71:P84" si="5">IFERROR(O71/$O$27,"0,00%")</f>
        <v>0</v>
      </c>
      <c r="Q71" s="71">
        <v>0</v>
      </c>
      <c r="R71" s="32" t="str">
        <f>IF(Fluxo_de_Caixa_Janeiro310208[[#This Row],[% ACUMULADO  1º SEMEST 2026]]&lt;=Fluxo_de_Caixa_Janeiro310208[[#This Row],[% ACUMULADO  1º SEMEST 2025]],"VERDADEIRO","FALSO")</f>
        <v>VERDADEIRO</v>
      </c>
      <c r="T71" s="509">
        <v>0</v>
      </c>
      <c r="U71" s="584">
        <v>0</v>
      </c>
    </row>
    <row r="72" spans="1:21" x14ac:dyDescent="0.25">
      <c r="B72" s="267" t="str">
        <f>Fluxo_de_Caixa_Janeiro[[#This Row],[Fluxo de Caixa 2026 CTR]]</f>
        <v xml:space="preserve">2.3.02.IRPJ (SE ESTIVER NO CMV) </v>
      </c>
      <c r="C72" s="35">
        <f>Fluxo_de_Caixa_Janeiro[[#This Row],[Janeiro]]</f>
        <v>0</v>
      </c>
      <c r="D72" s="62">
        <f>Fluxo_de_Caixa_Janeiro3[[#This Row],[Fevereiro]]</f>
        <v>50219.25</v>
      </c>
      <c r="E72" s="62">
        <f>Fluxo_de_Caixa_Janeiro34[[#This Row],[Março]]</f>
        <v>0</v>
      </c>
      <c r="F72" s="62">
        <f>Fluxo_de_Caixa_Janeiro345[[#This Row],[ABRIL]]</f>
        <v>0</v>
      </c>
      <c r="G72" s="62">
        <f>Fluxo_de_Caixa_Janeiro3459[[#This Row],[MAIO]]</f>
        <v>0</v>
      </c>
      <c r="H72" s="62">
        <f>Fluxo_de_Caixa_Janeiro345911[[#This Row],[JUNHO]]</f>
        <v>0</v>
      </c>
      <c r="I72" s="35"/>
      <c r="J72" s="62"/>
      <c r="K72" s="62"/>
      <c r="L72" s="62"/>
      <c r="M72" s="62"/>
      <c r="N72" s="119"/>
      <c r="O72" s="219">
        <f>SUM(Fluxo_de_Caixa_Janeiro310208[[#This Row],[Janeiro]:[Dezembro]])</f>
        <v>50219.25</v>
      </c>
      <c r="P72" s="192">
        <f t="shared" si="5"/>
        <v>1.0836088618674931E-2</v>
      </c>
      <c r="Q72" s="71">
        <v>1.3619047997815065E-2</v>
      </c>
      <c r="R72" s="32" t="str">
        <f>IF(Fluxo_de_Caixa_Janeiro310208[[#This Row],[% ACUMULADO  1º SEMEST 2026]]&lt;=Fluxo_de_Caixa_Janeiro310208[[#This Row],[% ACUMULADO  1º SEMEST 2025]],"VERDADEIRO","FALSO")</f>
        <v>VERDADEIRO</v>
      </c>
      <c r="T72" s="510">
        <v>77083.3</v>
      </c>
      <c r="U72" s="584">
        <v>1.3619047997815065E-2</v>
      </c>
    </row>
    <row r="73" spans="1:21" x14ac:dyDescent="0.25">
      <c r="B73" s="267" t="str">
        <f>Fluxo_de_Caixa_Janeiro[[#This Row],[Fluxo de Caixa 2026 CTR]]</f>
        <v xml:space="preserve">2.3.03.CSSL (SE ESTIVER NO CMV) </v>
      </c>
      <c r="C73" s="35">
        <f>Fluxo_de_Caixa_Janeiro[[#This Row],[Janeiro]]</f>
        <v>0</v>
      </c>
      <c r="D73" s="62">
        <f>Fluxo_de_Caixa_Janeiro3[[#This Row],[Fevereiro]]</f>
        <v>30668.76</v>
      </c>
      <c r="E73" s="62">
        <f>Fluxo_de_Caixa_Janeiro34[[#This Row],[Março]]</f>
        <v>0</v>
      </c>
      <c r="F73" s="62">
        <f>Fluxo_de_Caixa_Janeiro345[[#This Row],[ABRIL]]</f>
        <v>0</v>
      </c>
      <c r="G73" s="62">
        <f>Fluxo_de_Caixa_Janeiro3459[[#This Row],[MAIO]]</f>
        <v>0</v>
      </c>
      <c r="H73" s="62">
        <f>Fluxo_de_Caixa_Janeiro345911[[#This Row],[JUNHO]]</f>
        <v>0</v>
      </c>
      <c r="I73" s="35"/>
      <c r="J73" s="62"/>
      <c r="K73" s="62"/>
      <c r="L73" s="62"/>
      <c r="M73" s="62"/>
      <c r="N73" s="119"/>
      <c r="O73" s="219">
        <f>SUM(Fluxo_de_Caixa_Janeiro310208[[#This Row],[Janeiro]:[Dezembro]])</f>
        <v>30668.76</v>
      </c>
      <c r="P73" s="192">
        <f t="shared" si="5"/>
        <v>6.6175699793380623E-3</v>
      </c>
      <c r="Q73" s="71">
        <v>8.1175415152004819E-3</v>
      </c>
      <c r="R73" s="32" t="str">
        <f>IF(Fluxo_de_Caixa_Janeiro310208[[#This Row],[% ACUMULADO  1º SEMEST 2026]]&lt;=Fluxo_de_Caixa_Janeiro310208[[#This Row],[% ACUMULADO  1º SEMEST 2025]],"VERDADEIRO","FALSO")</f>
        <v>VERDADEIRO</v>
      </c>
      <c r="T73" s="510">
        <v>45944.98</v>
      </c>
      <c r="U73" s="584">
        <v>8.1175415152004819E-3</v>
      </c>
    </row>
    <row r="74" spans="1:21" x14ac:dyDescent="0.25">
      <c r="B74" s="267" t="str">
        <f>Fluxo_de_Caixa_Janeiro[[#This Row],[Fluxo de Caixa 2026 CTR]]</f>
        <v>2.3.04.COFINS (SE ESTIVER NO CMV)</v>
      </c>
      <c r="C74" s="35">
        <f>Fluxo_de_Caixa_Janeiro[[#This Row],[Janeiro]]</f>
        <v>12167.71</v>
      </c>
      <c r="D74" s="62">
        <f>Fluxo_de_Caixa_Janeiro3[[#This Row],[Fevereiro]]</f>
        <v>0</v>
      </c>
      <c r="E74" s="62">
        <f>Fluxo_de_Caixa_Janeiro34[[#This Row],[Março]]</f>
        <v>0</v>
      </c>
      <c r="F74" s="62">
        <f>Fluxo_de_Caixa_Janeiro345[[#This Row],[ABRIL]]</f>
        <v>0</v>
      </c>
      <c r="G74" s="62">
        <f>Fluxo_de_Caixa_Janeiro3459[[#This Row],[MAIO]]</f>
        <v>0</v>
      </c>
      <c r="H74" s="62">
        <f>Fluxo_de_Caixa_Janeiro345911[[#This Row],[JUNHO]]</f>
        <v>0</v>
      </c>
      <c r="I74" s="35"/>
      <c r="J74" s="62"/>
      <c r="K74" s="62"/>
      <c r="L74" s="62"/>
      <c r="M74" s="62"/>
      <c r="N74" s="119"/>
      <c r="O74" s="219">
        <f>SUM(Fluxo_de_Caixa_Janeiro310208[[#This Row],[Janeiro]:[Dezembro]])</f>
        <v>12167.71</v>
      </c>
      <c r="P74" s="192">
        <f t="shared" si="5"/>
        <v>2.6254948818697442E-3</v>
      </c>
      <c r="Q74" s="71">
        <v>1.3264611016154747E-2</v>
      </c>
      <c r="R74" s="32" t="str">
        <f>IF(Fluxo_de_Caixa_Janeiro310208[[#This Row],[% ACUMULADO  1º SEMEST 2026]]&lt;=Fluxo_de_Caixa_Janeiro310208[[#This Row],[% ACUMULADO  1º SEMEST 2025]],"VERDADEIRO","FALSO")</f>
        <v>VERDADEIRO</v>
      </c>
      <c r="T74" s="510">
        <v>75077.2</v>
      </c>
      <c r="U74" s="584">
        <v>1.3264611016154747E-2</v>
      </c>
    </row>
    <row r="75" spans="1:21" x14ac:dyDescent="0.25">
      <c r="B75" s="267" t="str">
        <f>Fluxo_de_Caixa_Janeiro[[#This Row],[Fluxo de Caixa 2026 CTR]]</f>
        <v>2.3.05.PIS (SE ESTIVER NO CMV)</v>
      </c>
      <c r="C75" s="35">
        <f>Fluxo_de_Caixa_Janeiro[[#This Row],[Janeiro]]</f>
        <v>2636.34</v>
      </c>
      <c r="D75" s="62">
        <f>Fluxo_de_Caixa_Janeiro3[[#This Row],[Fevereiro]]</f>
        <v>0</v>
      </c>
      <c r="E75" s="62">
        <f>Fluxo_de_Caixa_Janeiro34[[#This Row],[Março]]</f>
        <v>0</v>
      </c>
      <c r="F75" s="62">
        <f>Fluxo_de_Caixa_Janeiro345[[#This Row],[ABRIL]]</f>
        <v>0</v>
      </c>
      <c r="G75" s="62">
        <f>Fluxo_de_Caixa_Janeiro3459[[#This Row],[MAIO]]</f>
        <v>0</v>
      </c>
      <c r="H75" s="62">
        <f>Fluxo_de_Caixa_Janeiro345911[[#This Row],[JUNHO]]</f>
        <v>0</v>
      </c>
      <c r="I75" s="35"/>
      <c r="J75" s="62"/>
      <c r="K75" s="62"/>
      <c r="L75" s="62"/>
      <c r="M75" s="62"/>
      <c r="N75" s="119"/>
      <c r="O75" s="219">
        <f>SUM(Fluxo_de_Caixa_Janeiro310208[[#This Row],[Janeiro]:[Dezembro]])</f>
        <v>2636.34</v>
      </c>
      <c r="P75" s="192">
        <f t="shared" si="5"/>
        <v>5.6885783576930108E-4</v>
      </c>
      <c r="Q75" s="71">
        <v>2.8739996424322553E-3</v>
      </c>
      <c r="R75" s="32" t="str">
        <f>IF(Fluxo_de_Caixa_Janeiro310208[[#This Row],[% ACUMULADO  1º SEMEST 2026]]&lt;=Fluxo_de_Caixa_Janeiro310208[[#This Row],[% ACUMULADO  1º SEMEST 2025]],"VERDADEIRO","FALSO")</f>
        <v>VERDADEIRO</v>
      </c>
      <c r="T75" s="510">
        <v>16266.73</v>
      </c>
      <c r="U75" s="584">
        <v>2.8739996424322553E-3</v>
      </c>
    </row>
    <row r="76" spans="1:21" x14ac:dyDescent="0.25">
      <c r="B76" s="267" t="str">
        <f>Fluxo_de_Caixa_Janeiro[[#This Row],[Fluxo de Caixa 2026 CTR]]</f>
        <v>2.3.06.ICMS – Normal (SE ESTIVER NO CMV)</v>
      </c>
      <c r="C76" s="35">
        <f>Fluxo_de_Caixa_Janeiro[[#This Row],[Janeiro]]</f>
        <v>20443.12</v>
      </c>
      <c r="D76" s="62">
        <f>Fluxo_de_Caixa_Janeiro3[[#This Row],[Fevereiro]]</f>
        <v>66402.539999999994</v>
      </c>
      <c r="E76" s="62">
        <f>Fluxo_de_Caixa_Janeiro34[[#This Row],[Março]]</f>
        <v>43499.63</v>
      </c>
      <c r="F76" s="62">
        <f>Fluxo_de_Caixa_Janeiro345[[#This Row],[ABRIL]]</f>
        <v>31430.89</v>
      </c>
      <c r="G76" s="62">
        <f>Fluxo_de_Caixa_Janeiro3459[[#This Row],[MAIO]]</f>
        <v>23555.599999999999</v>
      </c>
      <c r="H76" s="64">
        <f>Fluxo_de_Caixa_Janeiro345911[[#This Row],[JUNHO]]</f>
        <v>0</v>
      </c>
      <c r="I76" s="35"/>
      <c r="J76" s="62"/>
      <c r="K76" s="62"/>
      <c r="L76" s="62"/>
      <c r="M76" s="62"/>
      <c r="N76" s="119"/>
      <c r="O76" s="219">
        <f>SUM(Fluxo_de_Caixa_Janeiro310208[[#This Row],[Janeiro]:[Dezembro]])</f>
        <v>185331.78</v>
      </c>
      <c r="P76" s="192">
        <f t="shared" si="5"/>
        <v>3.9990075358289232E-2</v>
      </c>
      <c r="Q76" s="71">
        <v>1.9268567830405189E-2</v>
      </c>
      <c r="R76" s="32" t="str">
        <f>IF(Fluxo_de_Caixa_Janeiro310208[[#This Row],[% ACUMULADO  1º SEMEST 2026]]&lt;=Fluxo_de_Caixa_Janeiro310208[[#This Row],[% ACUMULADO  1º SEMEST 2025]],"VERDADEIRO","FALSO")</f>
        <v>FALSO</v>
      </c>
      <c r="T76" s="510">
        <v>109059.37</v>
      </c>
      <c r="U76" s="584">
        <v>1.9268567830405189E-2</v>
      </c>
    </row>
    <row r="77" spans="1:21" x14ac:dyDescent="0.25">
      <c r="B77" s="267" t="str">
        <f>Fluxo_de_Caixa_Janeiro[[#This Row],[Fluxo de Caixa 2026 CTR]]</f>
        <v>2.3.07. SUBSTITUIÇÃO TRIBUTARIA SAÍDA (TARE)</v>
      </c>
      <c r="C77" s="35">
        <f>Fluxo_de_Caixa_Janeiro[[#This Row],[Janeiro]]</f>
        <v>10059.1</v>
      </c>
      <c r="D77" s="62">
        <f>Fluxo_de_Caixa_Janeiro3[[#This Row],[Fevereiro]]</f>
        <v>13988.27</v>
      </c>
      <c r="E77" s="62">
        <f>Fluxo_de_Caixa_Janeiro34[[#This Row],[Março]]</f>
        <v>14279.93</v>
      </c>
      <c r="F77" s="62">
        <f>Fluxo_de_Caixa_Janeiro345[[#This Row],[ABRIL]]</f>
        <v>20032.789999999997</v>
      </c>
      <c r="G77" s="62">
        <f>Fluxo_de_Caixa_Janeiro3459[[#This Row],[MAIO]]</f>
        <v>9093.66</v>
      </c>
      <c r="H77" s="62">
        <f>Fluxo_de_Caixa_Janeiro345911[[#This Row],[JUNHO]]</f>
        <v>0</v>
      </c>
      <c r="I77" s="35"/>
      <c r="J77" s="62"/>
      <c r="K77" s="62"/>
      <c r="L77" s="62"/>
      <c r="M77" s="62"/>
      <c r="N77" s="119"/>
      <c r="O77" s="219">
        <f>SUM(Fluxo_de_Caixa_Janeiro310208[[#This Row],[Janeiro]:[Dezembro]])</f>
        <v>67453.75</v>
      </c>
      <c r="P77" s="192">
        <f t="shared" si="5"/>
        <v>1.4554873134543908E-2</v>
      </c>
      <c r="Q77" s="71">
        <v>1.1376541946410057E-2</v>
      </c>
      <c r="R77" s="32" t="str">
        <f>IF(Fluxo_de_Caixa_Janeiro310208[[#This Row],[% ACUMULADO  1º SEMEST 2026]]&lt;=Fluxo_de_Caixa_Janeiro310208[[#This Row],[% ACUMULADO  1º SEMEST 2025]],"VERDADEIRO","FALSO")</f>
        <v>FALSO</v>
      </c>
      <c r="T77" s="510">
        <v>64390.8</v>
      </c>
      <c r="U77" s="584">
        <v>1.1376541946410057E-2</v>
      </c>
    </row>
    <row r="78" spans="1:21" x14ac:dyDescent="0.25">
      <c r="B78" s="268" t="str">
        <f>Fluxo_de_Caixa_Janeiro[[#This Row],[Fluxo de Caixa 2026 CTR]]</f>
        <v>2.3.08.SUBSTITUIÇÃO TRIBUTÁRIA NA ENTRADA</v>
      </c>
      <c r="C78" s="35">
        <f>Fluxo_de_Caixa_Janeiro[[#This Row],[Janeiro]]</f>
        <v>0</v>
      </c>
      <c r="D78" s="62">
        <f>Fluxo_de_Caixa_Janeiro3[[#This Row],[Fevereiro]]</f>
        <v>0</v>
      </c>
      <c r="E78" s="62">
        <f>Fluxo_de_Caixa_Janeiro34[[#This Row],[Março]]</f>
        <v>0</v>
      </c>
      <c r="F78" s="62">
        <f>Fluxo_de_Caixa_Janeiro345[[#This Row],[ABRIL]]</f>
        <v>0</v>
      </c>
      <c r="G78" s="62">
        <f>Fluxo_de_Caixa_Janeiro3459[[#This Row],[MAIO]]</f>
        <v>0</v>
      </c>
      <c r="H78" s="62">
        <f>Fluxo_de_Caixa_Janeiro345911[[#This Row],[JUNHO]]</f>
        <v>0</v>
      </c>
      <c r="I78" s="35"/>
      <c r="J78" s="62"/>
      <c r="K78" s="62"/>
      <c r="L78" s="62"/>
      <c r="M78" s="62"/>
      <c r="N78" s="119"/>
      <c r="O78" s="219">
        <f>SUM(Fluxo_de_Caixa_Janeiro310208[[#This Row],[Janeiro]:[Dezembro]])</f>
        <v>0</v>
      </c>
      <c r="P78" s="192">
        <f t="shared" si="5"/>
        <v>0</v>
      </c>
      <c r="Q78" s="71">
        <v>1.4519531006851577E-4</v>
      </c>
      <c r="R78" s="32" t="str">
        <f>IF(Fluxo_de_Caixa_Janeiro310208[[#This Row],[% ACUMULADO  1º SEMEST 2026]]&lt;=Fluxo_de_Caixa_Janeiro310208[[#This Row],[% ACUMULADO  1º SEMEST 2025]],"VERDADEIRO","FALSO")</f>
        <v>VERDADEIRO</v>
      </c>
      <c r="T78" s="510">
        <v>821.80000000000007</v>
      </c>
      <c r="U78" s="584">
        <v>1.4519531006851577E-4</v>
      </c>
    </row>
    <row r="79" spans="1:21" x14ac:dyDescent="0.25">
      <c r="B79" s="268" t="str">
        <f>Fluxo_de_Caixa_Janeiro[[#This Row],[Fluxo de Caixa 2026 CTR]]</f>
        <v>2.3.09.FUNDO DESENVOLVIMENTO ECONOMICO (TARE)</v>
      </c>
      <c r="C79" s="35">
        <f>Fluxo_de_Caixa_Janeiro[[#This Row],[Janeiro]]</f>
        <v>117.55</v>
      </c>
      <c r="D79" s="62">
        <f>Fluxo_de_Caixa_Janeiro3[[#This Row],[Fevereiro]]</f>
        <v>204.79</v>
      </c>
      <c r="E79" s="62">
        <f>Fluxo_de_Caixa_Janeiro34[[#This Row],[Março]]</f>
        <v>163.41999999999999</v>
      </c>
      <c r="F79" s="62">
        <f>Fluxo_de_Caixa_Janeiro345[[#This Row],[ABRIL]]</f>
        <v>839.78</v>
      </c>
      <c r="G79" s="62">
        <f>Fluxo_de_Caixa_Janeiro3459[[#This Row],[MAIO]]</f>
        <v>377.71</v>
      </c>
      <c r="H79" s="62">
        <f>Fluxo_de_Caixa_Janeiro345911[[#This Row],[JUNHO]]</f>
        <v>0</v>
      </c>
      <c r="I79" s="35"/>
      <c r="J79" s="62"/>
      <c r="K79" s="62"/>
      <c r="L79" s="62"/>
      <c r="M79" s="62"/>
      <c r="N79" s="119"/>
      <c r="O79" s="219">
        <f>SUM(Fluxo_de_Caixa_Janeiro310208[[#This Row],[Janeiro]:[Dezembro]])</f>
        <v>1703.25</v>
      </c>
      <c r="P79" s="192">
        <f t="shared" si="5"/>
        <v>3.6751978453995385E-4</v>
      </c>
      <c r="Q79" s="71">
        <v>1.6587389255868257E-4</v>
      </c>
      <c r="R79" s="32" t="str">
        <f>IF(Fluxo_de_Caixa_Janeiro310208[[#This Row],[% ACUMULADO  1º SEMEST 2026]]&lt;=Fluxo_de_Caixa_Janeiro310208[[#This Row],[% ACUMULADO  1º SEMEST 2025]],"VERDADEIRO","FALSO")</f>
        <v>FALSO</v>
      </c>
      <c r="T79" s="510">
        <v>938.84</v>
      </c>
      <c r="U79" s="584">
        <v>1.6587389255868257E-4</v>
      </c>
    </row>
    <row r="80" spans="1:21" hidden="1" x14ac:dyDescent="0.25">
      <c r="B80" s="268">
        <f>Fluxo_de_Caixa_Janeiro[[#This Row],[Fluxo de Caixa 2026 CTR]]</f>
        <v>0</v>
      </c>
      <c r="C80" s="35">
        <f>Fluxo_de_Caixa_Janeiro[[#This Row],[Janeiro]]</f>
        <v>0</v>
      </c>
      <c r="D80" s="62">
        <f>Fluxo_de_Caixa_Janeiro3[[#This Row],[Fevereiro]]</f>
        <v>0</v>
      </c>
      <c r="E80" s="62">
        <f>Fluxo_de_Caixa_Janeiro34[[#This Row],[Março]]</f>
        <v>0</v>
      </c>
      <c r="F80" s="62">
        <f>Fluxo_de_Caixa_Janeiro345[[#This Row],[ABRIL]]</f>
        <v>0</v>
      </c>
      <c r="G80" s="62">
        <f>Fluxo_de_Caixa_Janeiro3459[[#This Row],[MAIO]]</f>
        <v>0</v>
      </c>
      <c r="H80" s="62">
        <f>Fluxo_de_Caixa_Janeiro345911[[#This Row],[JUNHO]]</f>
        <v>0</v>
      </c>
      <c r="I80" s="35"/>
      <c r="J80" s="62"/>
      <c r="K80" s="62"/>
      <c r="L80" s="62"/>
      <c r="M80" s="62"/>
      <c r="N80" s="119"/>
      <c r="O80" s="219">
        <f>SUM(Fluxo_de_Caixa_Janeiro310208[[#This Row],[Janeiro]:[Dezembro]])</f>
        <v>0</v>
      </c>
      <c r="P80" s="192">
        <f t="shared" si="5"/>
        <v>0</v>
      </c>
      <c r="Q80" s="71">
        <v>0</v>
      </c>
      <c r="R80" s="32" t="str">
        <f>IF(Fluxo_de_Caixa_Janeiro310208[[#This Row],[% ACUMULADO  1º SEMEST 2026]]&lt;=Fluxo_de_Caixa_Janeiro310208[[#This Row],[% ACUMULADO  1º SEMEST 2025]],"VERDADEIRO","FALSO")</f>
        <v>VERDADEIRO</v>
      </c>
      <c r="T80" s="510">
        <v>0</v>
      </c>
      <c r="U80" s="584">
        <v>0</v>
      </c>
    </row>
    <row r="81" spans="1:21" hidden="1" x14ac:dyDescent="0.25">
      <c r="B81" s="268">
        <f>Fluxo_de_Caixa_Janeiro[[#This Row],[Fluxo de Caixa 2026 CTR]]</f>
        <v>0</v>
      </c>
      <c r="C81" s="35">
        <f>Fluxo_de_Caixa_Janeiro[[#This Row],[Janeiro]]</f>
        <v>0</v>
      </c>
      <c r="D81" s="62">
        <f>Fluxo_de_Caixa_Janeiro3[[#This Row],[Fevereiro]]</f>
        <v>0</v>
      </c>
      <c r="E81" s="62">
        <f>Fluxo_de_Caixa_Janeiro34[[#This Row],[Março]]</f>
        <v>0</v>
      </c>
      <c r="F81" s="62">
        <f>Fluxo_de_Caixa_Janeiro345[[#This Row],[ABRIL]]</f>
        <v>0</v>
      </c>
      <c r="G81" s="62">
        <f>Fluxo_de_Caixa_Janeiro3459[[#This Row],[MAIO]]</f>
        <v>0</v>
      </c>
      <c r="H81" s="62">
        <f>Fluxo_de_Caixa_Janeiro345911[[#This Row],[JUNHO]]</f>
        <v>0</v>
      </c>
      <c r="I81" s="35"/>
      <c r="J81" s="62"/>
      <c r="K81" s="62"/>
      <c r="L81" s="62"/>
      <c r="M81" s="62"/>
      <c r="N81" s="119"/>
      <c r="O81" s="219">
        <f>SUM(Fluxo_de_Caixa_Janeiro310208[[#This Row],[Janeiro]:[Dezembro]])</f>
        <v>0</v>
      </c>
      <c r="P81" s="192">
        <f t="shared" si="5"/>
        <v>0</v>
      </c>
      <c r="Q81" s="71">
        <v>0</v>
      </c>
      <c r="R81" s="32" t="str">
        <f>IF(Fluxo_de_Caixa_Janeiro310208[[#This Row],[% ACUMULADO  1º SEMEST 2026]]&lt;=Fluxo_de_Caixa_Janeiro310208[[#This Row],[% ACUMULADO  1º SEMEST 2025]],"VERDADEIRO","FALSO")</f>
        <v>VERDADEIRO</v>
      </c>
      <c r="T81" s="510">
        <v>0</v>
      </c>
      <c r="U81" s="584">
        <v>0</v>
      </c>
    </row>
    <row r="82" spans="1:21" ht="15.75" thickBot="1" x14ac:dyDescent="0.3">
      <c r="B82" s="268" t="str">
        <f>Fluxo_de_Caixa_Janeiro[[#This Row],[Fluxo de Caixa 2026 CTR]]</f>
        <v xml:space="preserve">2.3.11. Impostos Parcelado </v>
      </c>
      <c r="C82" s="35">
        <f>Fluxo_de_Caixa_Janeiro[[#This Row],[Janeiro]]</f>
        <v>12562.74</v>
      </c>
      <c r="D82" s="62">
        <f>Fluxo_de_Caixa_Janeiro3[[#This Row],[Fevereiro]]</f>
        <v>15513.25</v>
      </c>
      <c r="E82" s="62">
        <f>Fluxo_de_Caixa_Janeiro34[[#This Row],[Março]]</f>
        <v>15616.87</v>
      </c>
      <c r="F82" s="62">
        <f>Fluxo_de_Caixa_Janeiro345[[#This Row],[ABRIL]]</f>
        <v>15742.25</v>
      </c>
      <c r="G82" s="62">
        <f>Fluxo_de_Caixa_Janeiro3459[[#This Row],[MAIO]]</f>
        <v>15855.19</v>
      </c>
      <c r="H82" s="62">
        <f>Fluxo_de_Caixa_Janeiro345911[[#This Row],[JUNHO]]</f>
        <v>0</v>
      </c>
      <c r="I82" s="35"/>
      <c r="J82" s="62"/>
      <c r="K82" s="62"/>
      <c r="L82" s="62"/>
      <c r="M82" s="62"/>
      <c r="N82" s="119"/>
      <c r="O82" s="219">
        <f>SUM(Fluxo_de_Caixa_Janeiro310208[[#This Row],[Janeiro]:[Dezembro]])</f>
        <v>75290.3</v>
      </c>
      <c r="P82" s="192">
        <f t="shared" si="5"/>
        <v>1.6245809384381912E-2</v>
      </c>
      <c r="Q82" s="71">
        <v>1.2270827034447292E-2</v>
      </c>
      <c r="R82" s="32" t="str">
        <f>IF(Fluxo_de_Caixa_Janeiro310208[[#This Row],[% ACUMULADO  1º SEMEST 2026]]&lt;=Fluxo_de_Caixa_Janeiro310208[[#This Row],[% ACUMULADO  1º SEMEST 2025]],"VERDADEIRO","FALSO")</f>
        <v>FALSO</v>
      </c>
      <c r="T82" s="510">
        <v>69452.42</v>
      </c>
      <c r="U82" s="584">
        <v>1.2270827034447292E-2</v>
      </c>
    </row>
    <row r="83" spans="1:21" hidden="1" x14ac:dyDescent="0.25">
      <c r="B83" s="268">
        <f>Fluxo_de_Caixa_Janeiro[[#This Row],[Fluxo de Caixa 2026 CTR]]</f>
        <v>0</v>
      </c>
      <c r="C83" s="35">
        <f>Fluxo_de_Caixa_Janeiro[[#This Row],[Janeiro]]</f>
        <v>0</v>
      </c>
      <c r="D83" s="62">
        <f>Fluxo_de_Caixa_Janeiro3[[#This Row],[Fevereiro]]</f>
        <v>0</v>
      </c>
      <c r="E83" s="62">
        <f>Fluxo_de_Caixa_Janeiro34[[#This Row],[Março]]</f>
        <v>0</v>
      </c>
      <c r="F83" s="62">
        <f>Fluxo_de_Caixa_Janeiro345[[#This Row],[ABRIL]]</f>
        <v>0</v>
      </c>
      <c r="G83" s="62">
        <f>Fluxo_de_Caixa_Janeiro3459[[#This Row],[MAIO]]</f>
        <v>0</v>
      </c>
      <c r="H83" s="62">
        <f>Fluxo_de_Caixa_Janeiro345911[[#This Row],[JUNHO]]</f>
        <v>0</v>
      </c>
      <c r="I83" s="35"/>
      <c r="J83" s="62"/>
      <c r="K83" s="62"/>
      <c r="L83" s="62"/>
      <c r="M83" s="62"/>
      <c r="N83" s="119"/>
      <c r="O83" s="219">
        <f>SUM(Fluxo_de_Caixa_Janeiro310208[[#This Row],[Janeiro]:[Dezembro]])</f>
        <v>0</v>
      </c>
      <c r="P83" s="192">
        <f t="shared" si="5"/>
        <v>0</v>
      </c>
      <c r="Q83" s="71">
        <v>0</v>
      </c>
      <c r="R83" s="32" t="str">
        <f>IF(Fluxo_de_Caixa_Janeiro310208[[#This Row],[% ACUMULADO  1º SEMEST 2026]]&lt;=Fluxo_de_Caixa_Janeiro310208[[#This Row],[% ACUMULADO  1º SEMEST 2025]],"VERDADEIRO","FALSO")</f>
        <v>VERDADEIRO</v>
      </c>
      <c r="T83" s="510">
        <v>0</v>
      </c>
      <c r="U83" s="584">
        <v>0</v>
      </c>
    </row>
    <row r="84" spans="1:21" ht="15.75" hidden="1" thickBot="1" x14ac:dyDescent="0.3">
      <c r="B84" s="268">
        <f>Fluxo_de_Caixa_Janeiro[[#This Row],[Fluxo de Caixa 2026 CTR]]</f>
        <v>0</v>
      </c>
      <c r="C84" s="36">
        <f>Fluxo_de_Caixa_Janeiro[[#This Row],[Janeiro]]</f>
        <v>0</v>
      </c>
      <c r="D84" s="82">
        <f>Fluxo_de_Caixa_Janeiro3[[#This Row],[Fevereiro]]</f>
        <v>0</v>
      </c>
      <c r="E84" s="82">
        <f>Fluxo_de_Caixa_Janeiro34[[#This Row],[Março]]</f>
        <v>0</v>
      </c>
      <c r="F84" s="82">
        <f>Fluxo_de_Caixa_Janeiro345[[#This Row],[ABRIL]]</f>
        <v>0</v>
      </c>
      <c r="G84" s="82">
        <f>Fluxo_de_Caixa_Janeiro3459[[#This Row],[MAIO]]</f>
        <v>0</v>
      </c>
      <c r="H84" s="82">
        <f>Fluxo_de_Caixa_Janeiro345911[[#This Row],[JUNHO]]</f>
        <v>0</v>
      </c>
      <c r="I84" s="36"/>
      <c r="J84" s="82"/>
      <c r="K84" s="82"/>
      <c r="L84" s="82"/>
      <c r="M84" s="82"/>
      <c r="N84" s="120"/>
      <c r="O84" s="220">
        <f>SUM(Fluxo_de_Caixa_Janeiro310208[[#This Row],[Janeiro]:[Dezembro]])</f>
        <v>0</v>
      </c>
      <c r="P84" s="192">
        <f t="shared" si="5"/>
        <v>0</v>
      </c>
      <c r="Q84" s="89">
        <v>0</v>
      </c>
      <c r="R84" s="32" t="str">
        <f>IF(Fluxo_de_Caixa_Janeiro310208[[#This Row],[% ACUMULADO  1º SEMEST 2026]]&lt;=Fluxo_de_Caixa_Janeiro310208[[#This Row],[% ACUMULADO  1º SEMEST 2025]],"VERDADEIRO","FALSO")</f>
        <v>VERDADEIRO</v>
      </c>
      <c r="T84" s="511">
        <v>0</v>
      </c>
      <c r="U84" s="584">
        <v>0</v>
      </c>
    </row>
    <row r="85" spans="1:21" ht="24" thickBot="1" x14ac:dyDescent="0.4">
      <c r="B85" s="54" t="str">
        <f>Fluxo_de_Caixa_Janeiro[[#This Row],[Fluxo de Caixa 2026 CTR]]</f>
        <v xml:space="preserve">Total dos Custos </v>
      </c>
      <c r="C85" s="43">
        <f>Fluxo_de_Caixa_Janeiro[[#This Row],[Janeiro]]</f>
        <v>-518629.22</v>
      </c>
      <c r="D85" s="91">
        <f>Fluxo_de_Caixa_Janeiro3[[#This Row],[Fevereiro]]</f>
        <v>-653772.64000000013</v>
      </c>
      <c r="E85" s="91">
        <f>Fluxo_de_Caixa_Janeiro34[[#This Row],[Março]]</f>
        <v>-530050.30000000005</v>
      </c>
      <c r="F85" s="91">
        <f>Fluxo_de_Caixa_Janeiro345[[#This Row],[ABRIL]]</f>
        <v>-444268.68</v>
      </c>
      <c r="G85" s="91">
        <f>Fluxo_de_Caixa_Janeiro3459[[#This Row],[MAIO]]</f>
        <v>-259547.41</v>
      </c>
      <c r="H85" s="91">
        <f>Fluxo_de_Caixa_Janeiro345911[[#This Row],[JUNHO]]</f>
        <v>0</v>
      </c>
      <c r="I85" s="43"/>
      <c r="J85" s="91"/>
      <c r="K85" s="91"/>
      <c r="L85" s="91"/>
      <c r="M85" s="91"/>
      <c r="N85" s="127"/>
      <c r="O85" s="217">
        <f>SUM(Fluxo_de_Caixa_Janeiro310208[[#This Row],[Janeiro]:[Dezembro]])</f>
        <v>-2406268.2500000005</v>
      </c>
      <c r="P85" s="199">
        <f>IFERROR(O85/O27,"0,00%")</f>
        <v>-0.5192139667020883</v>
      </c>
      <c r="Q85" s="74">
        <v>-0.78970927020800019</v>
      </c>
      <c r="R85" s="32" t="str">
        <f>IF(Fluxo_de_Caixa_Janeiro310208[[#This Row],[% ACUMULADO  1º SEMEST 2026]]&gt;=Fluxo_de_Caixa_Janeiro310208[[#This Row],[% ACUMULADO  1º SEMEST 2025]],"VERDADEIRO","FALSO")</f>
        <v>VERDADEIRO</v>
      </c>
      <c r="T85" s="508">
        <v>-4469724.8</v>
      </c>
      <c r="U85" s="585">
        <v>-0.78970927020800019</v>
      </c>
    </row>
    <row r="86" spans="1:21" ht="24" thickBot="1" x14ac:dyDescent="0.4">
      <c r="B86" s="273" t="str">
        <f>Fluxo_de_Caixa_Janeiro[[#This Row],[Fluxo de Caixa 2026 CTR]]</f>
        <v>Receita Operacional Bruta</v>
      </c>
      <c r="C86" s="200">
        <f>Fluxo_de_Caixa_Janeiro[[#This Row],[Janeiro]]</f>
        <v>231003.70999999996</v>
      </c>
      <c r="D86" s="201">
        <f>Fluxo_de_Caixa_Janeiro3[[#This Row],[Fevereiro]]</f>
        <v>384816.44999999995</v>
      </c>
      <c r="E86" s="201">
        <f>Fluxo_de_Caixa_Janeiro34[[#This Row],[Março]]</f>
        <v>557699.68999999994</v>
      </c>
      <c r="F86" s="201">
        <f>Fluxo_de_Caixa_Janeiro345[[#This Row],[ABRIL]]</f>
        <v>564978.32000000007</v>
      </c>
      <c r="G86" s="201">
        <f>Fluxo_de_Caixa_Janeiro3459[[#This Row],[MAIO]]</f>
        <v>489677.95999999996</v>
      </c>
      <c r="H86" s="201">
        <f>Fluxo_de_Caixa_Janeiro345911[[#This Row],[JUNHO]]</f>
        <v>0</v>
      </c>
      <c r="I86" s="200"/>
      <c r="J86" s="201"/>
      <c r="K86" s="201"/>
      <c r="L86" s="201"/>
      <c r="M86" s="201"/>
      <c r="N86" s="202"/>
      <c r="O86" s="289">
        <f>SUM(Fluxo_de_Caixa_Janeiro310208[[#This Row],[Janeiro]:[Dezembro]])</f>
        <v>2228176.13</v>
      </c>
      <c r="P86" s="203">
        <f>IFERROR(O86/O27,"0,00%")</f>
        <v>0.48078603329791175</v>
      </c>
      <c r="Q86" s="92">
        <v>0.21029072979199964</v>
      </c>
      <c r="R86" s="32" t="str">
        <f>IF(Fluxo_de_Caixa_Janeiro310208[[#This Row],[% ACUMULADO  1º SEMEST 2026]]&gt;=Fluxo_de_Caixa_Janeiro310208[[#This Row],[% ACUMULADO  1º SEMEST 2025]],"VERDADEIRO","FALSO")</f>
        <v>VERDADEIRO</v>
      </c>
      <c r="T86" s="512">
        <v>1190237.6299999999</v>
      </c>
      <c r="U86" s="586">
        <v>0.21029072979199964</v>
      </c>
    </row>
    <row r="87" spans="1:21" ht="24" thickBot="1" x14ac:dyDescent="0.4">
      <c r="B87" s="274" t="str">
        <f>Fluxo_de_Caixa_Janeiro[[#This Row],[Fluxo de Caixa 2026 CTR]]</f>
        <v xml:space="preserve">300. Despesas Operac. Fixas e Variáveis </v>
      </c>
      <c r="C87" s="204">
        <f>Fluxo_de_Caixa_Janeiro[[#This Row],[Janeiro]]</f>
        <v>0</v>
      </c>
      <c r="D87" s="249">
        <f>Fluxo_de_Caixa_Janeiro3[[#This Row],[Fevereiro]]</f>
        <v>0</v>
      </c>
      <c r="E87" s="249">
        <f>Fluxo_de_Caixa_Janeiro34[[#This Row],[Março]]</f>
        <v>0</v>
      </c>
      <c r="F87" s="249">
        <f>Fluxo_de_Caixa_Janeiro345[[#This Row],[ABRIL]]</f>
        <v>0</v>
      </c>
      <c r="G87" s="249">
        <f>Fluxo_de_Caixa_Janeiro3459[[#This Row],[MAIO]]</f>
        <v>0</v>
      </c>
      <c r="H87" s="403">
        <f>Fluxo_de_Caixa_Janeiro345911[[#This Row],[JUNHO]]</f>
        <v>0</v>
      </c>
      <c r="I87" s="249"/>
      <c r="J87" s="249"/>
      <c r="K87" s="249"/>
      <c r="L87" s="249"/>
      <c r="M87" s="249"/>
      <c r="N87" s="249"/>
      <c r="O87" s="221"/>
      <c r="P87" s="205"/>
      <c r="Q87" s="23"/>
      <c r="R87" s="32" t="str">
        <f>IF(Fluxo_de_Caixa_Janeiro310208[[#This Row],[% ACUMULADO  1º SEMEST 2026]]&lt;=Fluxo_de_Caixa_Janeiro310208[[#This Row],[% ACUMULADO  1º SEMEST 2025]],"VERDADEIRO","FALSO")</f>
        <v>VERDADEIRO</v>
      </c>
      <c r="T87" s="513"/>
      <c r="U87" s="587"/>
    </row>
    <row r="88" spans="1:21" ht="19.5" thickBot="1" x14ac:dyDescent="0.35">
      <c r="A88" s="14" t="s">
        <v>2</v>
      </c>
      <c r="B88" s="275" t="str">
        <f>Fluxo_de_Caixa_Janeiro[[#This Row],[Fluxo de Caixa 2026 CTR]]</f>
        <v xml:space="preserve">3.1. DESPESA COM VENDAS   </v>
      </c>
      <c r="C88" s="157">
        <f>Fluxo_de_Caixa_Janeiro[[#This Row],[Janeiro]]</f>
        <v>-60045.89</v>
      </c>
      <c r="D88" s="94">
        <f>Fluxo_de_Caixa_Janeiro3[[#This Row],[Fevereiro]]</f>
        <v>-74448.100000000006</v>
      </c>
      <c r="E88" s="94">
        <f>Fluxo_de_Caixa_Janeiro34[[#This Row],[Março]]</f>
        <v>-50419.469999999994</v>
      </c>
      <c r="F88" s="94">
        <f>Fluxo_de_Caixa_Janeiro345[[#This Row],[ABRIL]]</f>
        <v>-41738.280000000006</v>
      </c>
      <c r="G88" s="94">
        <f>Fluxo_de_Caixa_Janeiro3459[[#This Row],[MAIO]]</f>
        <v>-33338.720000000001</v>
      </c>
      <c r="H88" s="94">
        <f>Fluxo_de_Caixa_Janeiro345911[[#This Row],[JUNHO]]</f>
        <v>0</v>
      </c>
      <c r="I88" s="157"/>
      <c r="J88" s="94"/>
      <c r="K88" s="94"/>
      <c r="L88" s="94"/>
      <c r="M88" s="94"/>
      <c r="N88" s="128"/>
      <c r="O88" s="222">
        <f>SUM(Fluxo_de_Caixa_Janeiro310208[[#This Row],[Janeiro]:[Dezembro]])</f>
        <v>-259990.46</v>
      </c>
      <c r="P88" s="143">
        <f>-IFERROR(O88/$O$27,"0,00")</f>
        <v>5.6099596560483481E-2</v>
      </c>
      <c r="Q88" s="95">
        <v>4.1568551542487883E-2</v>
      </c>
      <c r="R88" s="32" t="str">
        <f>IF(Fluxo_de_Caixa_Janeiro310208[[#This Row],[% ACUMULADO  1º SEMEST 2026]]&lt;=Fluxo_de_Caixa_Janeiro310208[[#This Row],[% ACUMULADO  1º SEMEST 2025]],"VERDADEIRO","FALSO")</f>
        <v>FALSO</v>
      </c>
      <c r="T88" s="514">
        <v>-235276.44</v>
      </c>
      <c r="U88" s="588">
        <v>4.1568551542487883E-2</v>
      </c>
    </row>
    <row r="89" spans="1:21" x14ac:dyDescent="0.25">
      <c r="B89" s="169" t="str">
        <f>Fluxo_de_Caixa_Janeiro[[#This Row],[Fluxo de Caixa 2026 CTR]]</f>
        <v xml:space="preserve">3.1.01. Marketing e Propaganda </v>
      </c>
      <c r="C89" s="41">
        <f>Fluxo_de_Caixa_Janeiro[[#This Row],[Janeiro]]</f>
        <v>2535</v>
      </c>
      <c r="D89" s="81">
        <f>Fluxo_de_Caixa_Janeiro3[[#This Row],[Fevereiro]]</f>
        <v>2535</v>
      </c>
      <c r="E89" s="81">
        <f>Fluxo_de_Caixa_Janeiro34[[#This Row],[Março]]</f>
        <v>2535</v>
      </c>
      <c r="F89" s="81">
        <f>Fluxo_de_Caixa_Janeiro345[[#This Row],[ABRIL]]</f>
        <v>2715</v>
      </c>
      <c r="G89" s="81">
        <f>Fluxo_de_Caixa_Janeiro3459[[#This Row],[MAIO]]</f>
        <v>3195</v>
      </c>
      <c r="H89" s="81">
        <f>Fluxo_de_Caixa_Janeiro345911[[#This Row],[JUNHO]]</f>
        <v>0</v>
      </c>
      <c r="I89" s="41"/>
      <c r="J89" s="81"/>
      <c r="K89" s="81"/>
      <c r="L89" s="81"/>
      <c r="M89" s="81"/>
      <c r="N89" s="118"/>
      <c r="O89" s="223">
        <f>SUM(Fluxo_de_Caixa_Janeiro310208[[#This Row],[Janeiro]:[Dezembro]])</f>
        <v>13515</v>
      </c>
      <c r="P89" s="193">
        <f t="shared" ref="P89:P99" si="6">IFERROR(O89/$O$27,"0,00%")</f>
        <v>2.9162071851210783E-3</v>
      </c>
      <c r="Q89" s="93">
        <v>2.7186752898640705E-3</v>
      </c>
      <c r="R89" s="32" t="str">
        <f>IF(Fluxo_de_Caixa_Janeiro310208[[#This Row],[% ACUMULADO  1º SEMEST 2026]]&lt;=Fluxo_de_Caixa_Janeiro310208[[#This Row],[% ACUMULADO  1º SEMEST 2025]],"VERDADEIRO","FALSO")</f>
        <v>FALSO</v>
      </c>
      <c r="T89" s="515">
        <v>15387.6</v>
      </c>
      <c r="U89" s="589">
        <v>2.7186752898640705E-3</v>
      </c>
    </row>
    <row r="90" spans="1:21" x14ac:dyDescent="0.25">
      <c r="B90" s="55" t="str">
        <f>Fluxo_de_Caixa_Janeiro[[#This Row],[Fluxo de Caixa 2026 CTR]]</f>
        <v>3.1.02. Promoções e Eventos(Brindes/Café da Manhã p clientes/etc)</v>
      </c>
      <c r="C90" s="35">
        <f>Fluxo_de_Caixa_Janeiro[[#This Row],[Janeiro]]</f>
        <v>0</v>
      </c>
      <c r="D90" s="62">
        <f>Fluxo_de_Caixa_Janeiro3[[#This Row],[Fevereiro]]</f>
        <v>0</v>
      </c>
      <c r="E90" s="62">
        <f>Fluxo_de_Caixa_Janeiro34[[#This Row],[Março]]</f>
        <v>0</v>
      </c>
      <c r="F90" s="62">
        <f>Fluxo_de_Caixa_Janeiro345[[#This Row],[ABRIL]]</f>
        <v>4614.57</v>
      </c>
      <c r="G90" s="62">
        <f>Fluxo_de_Caixa_Janeiro3459[[#This Row],[MAIO]]</f>
        <v>12132.12</v>
      </c>
      <c r="H90" s="62">
        <f>Fluxo_de_Caixa_Janeiro345911[[#This Row],[JUNHO]]</f>
        <v>0</v>
      </c>
      <c r="I90" s="35"/>
      <c r="J90" s="62"/>
      <c r="K90" s="62"/>
      <c r="L90" s="62"/>
      <c r="M90" s="62"/>
      <c r="N90" s="119"/>
      <c r="O90" s="224">
        <f>SUM(Fluxo_de_Caixa_Janeiro310208[[#This Row],[Janeiro]:[Dezembro]])</f>
        <v>16746.690000000002</v>
      </c>
      <c r="P90" s="194">
        <f t="shared" si="6"/>
        <v>3.6135270221972116E-3</v>
      </c>
      <c r="Q90" s="75">
        <v>3.2621576959831517E-3</v>
      </c>
      <c r="R90" s="32" t="str">
        <f>IF(Fluxo_de_Caixa_Janeiro310208[[#This Row],[% ACUMULADO  1º SEMEST 2026]]&lt;=Fluxo_de_Caixa_Janeiro310208[[#This Row],[% ACUMULADO  1º SEMEST 2025]],"VERDADEIRO","FALSO")</f>
        <v>FALSO</v>
      </c>
      <c r="T90" s="516">
        <v>18463.690000000002</v>
      </c>
      <c r="U90" s="590">
        <v>3.2621576959831517E-3</v>
      </c>
    </row>
    <row r="91" spans="1:21" x14ac:dyDescent="0.25">
      <c r="B91" s="55" t="str">
        <f>Fluxo_de_Caixa_Janeiro[[#This Row],[Fluxo de Caixa 2026 CTR]]</f>
        <v>3.1.03. Sacolas e Embalagens</v>
      </c>
      <c r="C91" s="35">
        <f>Fluxo_de_Caixa_Janeiro[[#This Row],[Janeiro]]</f>
        <v>0</v>
      </c>
      <c r="D91" s="62">
        <f>Fluxo_de_Caixa_Janeiro3[[#This Row],[Fevereiro]]</f>
        <v>0</v>
      </c>
      <c r="E91" s="62">
        <f>Fluxo_de_Caixa_Janeiro34[[#This Row],[Março]]</f>
        <v>303.29000000000002</v>
      </c>
      <c r="F91" s="62">
        <f>Fluxo_de_Caixa_Janeiro345[[#This Row],[ABRIL]]</f>
        <v>412.82</v>
      </c>
      <c r="G91" s="62">
        <f>Fluxo_de_Caixa_Janeiro3459[[#This Row],[MAIO]]</f>
        <v>296.10000000000002</v>
      </c>
      <c r="H91" s="62">
        <f>Fluxo_de_Caixa_Janeiro345911[[#This Row],[JUNHO]]</f>
        <v>0</v>
      </c>
      <c r="I91" s="35"/>
      <c r="J91" s="62"/>
      <c r="K91" s="62"/>
      <c r="L91" s="62"/>
      <c r="M91" s="62"/>
      <c r="N91" s="119"/>
      <c r="O91" s="224">
        <f>SUM(Fluxo_de_Caixa_Janeiro310208[[#This Row],[Janeiro]:[Dezembro]])</f>
        <v>1012.21</v>
      </c>
      <c r="P91" s="194">
        <f t="shared" si="6"/>
        <v>2.1841021641519842E-4</v>
      </c>
      <c r="Q91" s="75">
        <v>6.7495147666554376E-4</v>
      </c>
      <c r="R91" s="32" t="str">
        <f>IF(Fluxo_de_Caixa_Janeiro310208[[#This Row],[% ACUMULADO  1º SEMEST 2026]]&lt;=Fluxo_de_Caixa_Janeiro310208[[#This Row],[% ACUMULADO  1º SEMEST 2025]],"VERDADEIRO","FALSO")</f>
        <v>VERDADEIRO</v>
      </c>
      <c r="T91" s="516">
        <v>3820.2</v>
      </c>
      <c r="U91" s="590">
        <v>6.7495147666554376E-4</v>
      </c>
    </row>
    <row r="92" spans="1:21" x14ac:dyDescent="0.25">
      <c r="B92" s="55" t="str">
        <f>Fluxo_de_Caixa_Janeiro[[#This Row],[Fluxo de Caixa 2026 CTR]]</f>
        <v>3.1.04.DIARIAS E DESPESAS COM VENDEDOR (passagem ônibus, hotel. Etc)</v>
      </c>
      <c r="C92" s="35">
        <f>Fluxo_de_Caixa_Janeiro[[#This Row],[Janeiro]]</f>
        <v>0</v>
      </c>
      <c r="D92" s="62">
        <f>Fluxo_de_Caixa_Janeiro3[[#This Row],[Fevereiro]]</f>
        <v>0</v>
      </c>
      <c r="E92" s="62">
        <f>Fluxo_de_Caixa_Janeiro34[[#This Row],[Março]]</f>
        <v>0</v>
      </c>
      <c r="F92" s="62">
        <f>Fluxo_de_Caixa_Janeiro345[[#This Row],[ABRIL]]</f>
        <v>0</v>
      </c>
      <c r="G92" s="407">
        <f>Fluxo_de_Caixa_Janeiro3459[[#This Row],[MAIO]]</f>
        <v>0</v>
      </c>
      <c r="H92" s="407">
        <f>Fluxo_de_Caixa_Janeiro345911[[#This Row],[JUNHO]]</f>
        <v>0</v>
      </c>
      <c r="I92" s="35"/>
      <c r="J92" s="62"/>
      <c r="K92" s="62"/>
      <c r="L92" s="62"/>
      <c r="M92" s="62"/>
      <c r="N92" s="119"/>
      <c r="O92" s="224">
        <f>SUM(Fluxo_de_Caixa_Janeiro310208[[#This Row],[Janeiro]:[Dezembro]])</f>
        <v>0</v>
      </c>
      <c r="P92" s="194">
        <f t="shared" si="6"/>
        <v>0</v>
      </c>
      <c r="Q92" s="75">
        <v>7.1615316358204155E-4</v>
      </c>
      <c r="R92" s="32" t="str">
        <f>IF(Fluxo_de_Caixa_Janeiro310208[[#This Row],[% ACUMULADO  1º SEMEST 2026]]&lt;=Fluxo_de_Caixa_Janeiro310208[[#This Row],[% ACUMULADO  1º SEMEST 2025]],"VERDADEIRO","FALSO")</f>
        <v>VERDADEIRO</v>
      </c>
      <c r="T92" s="516">
        <v>4053.4</v>
      </c>
      <c r="U92" s="590">
        <v>7.1615316358204155E-4</v>
      </c>
    </row>
    <row r="93" spans="1:21" x14ac:dyDescent="0.25">
      <c r="B93" s="55" t="str">
        <f>Fluxo_de_Caixa_Janeiro[[#This Row],[Fluxo de Caixa 2026 CTR]]</f>
        <v>3.1.05. Comissão Representente Comercial</v>
      </c>
      <c r="C93" s="35">
        <f>Fluxo_de_Caixa_Janeiro[[#This Row],[Janeiro]]</f>
        <v>34232.57</v>
      </c>
      <c r="D93" s="62">
        <f>Fluxo_de_Caixa_Janeiro3[[#This Row],[Fevereiro]]</f>
        <v>57815.85</v>
      </c>
      <c r="E93" s="62">
        <f>Fluxo_de_Caixa_Janeiro34[[#This Row],[Março]]</f>
        <v>34661.589999999997</v>
      </c>
      <c r="F93" s="64">
        <f>Fluxo_de_Caixa_Janeiro345[[#This Row],[ABRIL]]</f>
        <v>22420.65</v>
      </c>
      <c r="G93" s="64">
        <f>Fluxo_de_Caixa_Janeiro3459[[#This Row],[MAIO]]</f>
        <v>12104.98</v>
      </c>
      <c r="H93" s="64">
        <f>Fluxo_de_Caixa_Janeiro345911[[#This Row],[JUNHO]]</f>
        <v>0</v>
      </c>
      <c r="I93" s="35"/>
      <c r="J93" s="62"/>
      <c r="K93" s="62"/>
      <c r="L93" s="62"/>
      <c r="M93" s="62"/>
      <c r="N93" s="119"/>
      <c r="O93" s="224">
        <f>SUM(Fluxo_de_Caixa_Janeiro310208[[#This Row],[Janeiro]:[Dezembro]])</f>
        <v>161235.64000000001</v>
      </c>
      <c r="P93" s="194">
        <f t="shared" si="6"/>
        <v>3.4790716379252351E-2</v>
      </c>
      <c r="Q93" s="75">
        <v>2.8793351902160945E-2</v>
      </c>
      <c r="R93" s="32" t="str">
        <f>IF(Fluxo_de_Caixa_Janeiro310208[[#This Row],[% ACUMULADO  1º SEMEST 2026]]&lt;=Fluxo_de_Caixa_Janeiro310208[[#This Row],[% ACUMULADO  1º SEMEST 2025]],"VERDADEIRO","FALSO")</f>
        <v>FALSO</v>
      </c>
      <c r="T93" s="516">
        <v>162969.29</v>
      </c>
      <c r="U93" s="590">
        <v>2.8793351902160945E-2</v>
      </c>
    </row>
    <row r="94" spans="1:21" x14ac:dyDescent="0.25">
      <c r="B94" s="55" t="str">
        <f>Fluxo_de_Caixa_Janeiro[[#This Row],[Fluxo de Caixa 2026 CTR]]</f>
        <v>3.1.06. Frete com entrega de vendas</v>
      </c>
      <c r="C94" s="35">
        <f>Fluxo_de_Caixa_Janeiro[[#This Row],[Janeiro]]</f>
        <v>5767.8</v>
      </c>
      <c r="D94" s="62">
        <f>Fluxo_de_Caixa_Janeiro3[[#This Row],[Fevereiro]]</f>
        <v>5208.04</v>
      </c>
      <c r="E94" s="62">
        <f>Fluxo_de_Caixa_Janeiro34[[#This Row],[Março]]</f>
        <v>5007.88</v>
      </c>
      <c r="F94" s="62">
        <f>Fluxo_de_Caixa_Janeiro345[[#This Row],[ABRIL]]</f>
        <v>4269.79</v>
      </c>
      <c r="G94" s="407">
        <f>Fluxo_de_Caixa_Janeiro3459[[#This Row],[MAIO]]</f>
        <v>1680</v>
      </c>
      <c r="H94" s="407">
        <f>Fluxo_de_Caixa_Janeiro345911[[#This Row],[JUNHO]]</f>
        <v>0</v>
      </c>
      <c r="I94" s="35"/>
      <c r="J94" s="62"/>
      <c r="K94" s="62"/>
      <c r="L94" s="62"/>
      <c r="M94" s="62"/>
      <c r="N94" s="119"/>
      <c r="O94" s="224">
        <f>SUM(Fluxo_de_Caixa_Janeiro310208[[#This Row],[Janeiro]:[Dezembro]])</f>
        <v>21933.510000000002</v>
      </c>
      <c r="P94" s="194">
        <f t="shared" si="6"/>
        <v>4.7327162010303387E-3</v>
      </c>
      <c r="Q94" s="75">
        <v>2.7924832002815957E-3</v>
      </c>
      <c r="R94" s="32" t="str">
        <f>IF(Fluxo_de_Caixa_Janeiro310208[[#This Row],[% ACUMULADO  1º SEMEST 2026]]&lt;=Fluxo_de_Caixa_Janeiro310208[[#This Row],[% ACUMULADO  1º SEMEST 2025]],"VERDADEIRO","FALSO")</f>
        <v>FALSO</v>
      </c>
      <c r="T94" s="516">
        <v>15805.349999999999</v>
      </c>
      <c r="U94" s="590">
        <v>2.7924832002815957E-3</v>
      </c>
    </row>
    <row r="95" spans="1:21" x14ac:dyDescent="0.25">
      <c r="B95" s="55" t="str">
        <f>Fluxo_de_Caixa_Janeiro[[#This Row],[Fluxo de Caixa 2026 CTR]]</f>
        <v>3.1.07. TAXAS C/ CART CRÉD/DÉBIT</v>
      </c>
      <c r="C95" s="35">
        <f>Fluxo_de_Caixa_Janeiro[[#This Row],[Janeiro]]</f>
        <v>17461.460000000003</v>
      </c>
      <c r="D95" s="62">
        <f>Fluxo_de_Caixa_Janeiro3[[#This Row],[Fevereiro]]</f>
        <v>8832.2100000000009</v>
      </c>
      <c r="E95" s="62">
        <f>Fluxo_de_Caixa_Janeiro34[[#This Row],[Março]]</f>
        <v>7791.25</v>
      </c>
      <c r="F95" s="62">
        <f>Fluxo_de_Caixa_Janeiro345[[#This Row],[ABRIL]]</f>
        <v>7272.91</v>
      </c>
      <c r="G95" s="62">
        <f>Fluxo_de_Caixa_Janeiro3459[[#This Row],[MAIO]]</f>
        <v>3846.24</v>
      </c>
      <c r="H95" s="407">
        <f>Fluxo_de_Caixa_Janeiro345911[[#This Row],[JUNHO]]</f>
        <v>0</v>
      </c>
      <c r="I95" s="35"/>
      <c r="J95" s="62"/>
      <c r="K95" s="62"/>
      <c r="L95" s="62"/>
      <c r="M95" s="62"/>
      <c r="N95" s="119"/>
      <c r="O95" s="224">
        <f>SUM(Fluxo_de_Caixa_Janeiro310208[[#This Row],[Janeiro]:[Dezembro]])</f>
        <v>45204.07</v>
      </c>
      <c r="P95" s="194">
        <f t="shared" si="6"/>
        <v>9.753935163205045E-3</v>
      </c>
      <c r="Q95" s="75">
        <v>2.610778813950537E-3</v>
      </c>
      <c r="R95" s="32" t="str">
        <f>IF(Fluxo_de_Caixa_Janeiro310208[[#This Row],[% ACUMULADO  1º SEMEST 2026]]&lt;=Fluxo_de_Caixa_Janeiro310208[[#This Row],[% ACUMULADO  1º SEMEST 2025]],"VERDADEIRO","FALSO")</f>
        <v>FALSO</v>
      </c>
      <c r="T95" s="516">
        <v>14776.91</v>
      </c>
      <c r="U95" s="590">
        <v>2.610778813950537E-3</v>
      </c>
    </row>
    <row r="96" spans="1:21" x14ac:dyDescent="0.25">
      <c r="B96" s="55" t="str">
        <f>Fluxo_de_Caixa_Janeiro[[#This Row],[Fluxo de Caixa 2026 CTR]]</f>
        <v>3.1.08. Serviço Motoboy Entrega Vendas</v>
      </c>
      <c r="C96" s="35">
        <f>Fluxo_de_Caixa_Janeiro[[#This Row],[Janeiro]]</f>
        <v>0</v>
      </c>
      <c r="D96" s="62">
        <f>Fluxo_de_Caixa_Janeiro3[[#This Row],[Fevereiro]]</f>
        <v>0</v>
      </c>
      <c r="E96" s="62">
        <f>Fluxo_de_Caixa_Janeiro34[[#This Row],[Março]]</f>
        <v>0</v>
      </c>
      <c r="F96" s="62">
        <f>Fluxo_de_Caixa_Janeiro345[[#This Row],[ABRIL]]</f>
        <v>0</v>
      </c>
      <c r="G96" s="62">
        <f>Fluxo_de_Caixa_Janeiro3459[[#This Row],[MAIO]]</f>
        <v>0</v>
      </c>
      <c r="H96" s="407">
        <f>Fluxo_de_Caixa_Janeiro345911[[#This Row],[JUNHO]]</f>
        <v>0</v>
      </c>
      <c r="I96" s="35"/>
      <c r="J96" s="62"/>
      <c r="K96" s="62"/>
      <c r="L96" s="62"/>
      <c r="M96" s="62"/>
      <c r="N96" s="119"/>
      <c r="O96" s="224">
        <f>SUM(Fluxo_de_Caixa_Janeiro310208[[#This Row],[Janeiro]:[Dezembro]])</f>
        <v>0</v>
      </c>
      <c r="P96" s="194">
        <f t="shared" si="6"/>
        <v>0</v>
      </c>
      <c r="Q96" s="75">
        <v>0</v>
      </c>
      <c r="R96" s="32" t="str">
        <f>IF(Fluxo_de_Caixa_Janeiro310208[[#This Row],[% ACUMULADO  1º SEMEST 2026]]&lt;=Fluxo_de_Caixa_Janeiro310208[[#This Row],[% ACUMULADO  1º SEMEST 2025]],"VERDADEIRO","FALSO")</f>
        <v>VERDADEIRO</v>
      </c>
      <c r="T96" s="516">
        <v>0</v>
      </c>
      <c r="U96" s="590">
        <v>0</v>
      </c>
    </row>
    <row r="97" spans="1:21" ht="15.75" thickBot="1" x14ac:dyDescent="0.3">
      <c r="B97" s="55" t="str">
        <f>Fluxo_de_Caixa_Janeiro[[#This Row],[Fluxo de Caixa 2026 CTR]]</f>
        <v>3.1.09. PGTO DISTRATO REPRES COMERCIAL</v>
      </c>
      <c r="C97" s="35">
        <f>Fluxo_de_Caixa_Janeiro[[#This Row],[Janeiro]]</f>
        <v>0</v>
      </c>
      <c r="D97" s="62">
        <f>Fluxo_de_Caixa_Janeiro3[[#This Row],[Fevereiro]]</f>
        <v>0</v>
      </c>
      <c r="E97" s="62">
        <f>Fluxo_de_Caixa_Janeiro34[[#This Row],[Março]]</f>
        <v>0</v>
      </c>
      <c r="F97" s="62">
        <f>Fluxo_de_Caixa_Janeiro345[[#This Row],[ABRIL]]</f>
        <v>0</v>
      </c>
      <c r="G97" s="62">
        <f>Fluxo_de_Caixa_Janeiro3459[[#This Row],[MAIO]]</f>
        <v>0</v>
      </c>
      <c r="H97" s="62">
        <f>Fluxo_de_Caixa_Janeiro345911[[#This Row],[JUNHO]]</f>
        <v>0</v>
      </c>
      <c r="I97" s="35"/>
      <c r="J97" s="62"/>
      <c r="K97" s="62"/>
      <c r="L97" s="62"/>
      <c r="M97" s="62"/>
      <c r="N97" s="119"/>
      <c r="O97" s="224">
        <f>SUM(Fluxo_de_Caixa_Janeiro310208[[#This Row],[Janeiro]:[Dezembro]])</f>
        <v>0</v>
      </c>
      <c r="P97" s="194">
        <f t="shared" si="6"/>
        <v>0</v>
      </c>
      <c r="Q97" s="75">
        <v>0</v>
      </c>
      <c r="R97" s="32" t="str">
        <f>IF(Fluxo_de_Caixa_Janeiro310208[[#This Row],[% ACUMULADO  1º SEMEST 2026]]&lt;=Fluxo_de_Caixa_Janeiro310208[[#This Row],[% ACUMULADO  1º SEMEST 2025]],"VERDADEIRO","FALSO")</f>
        <v>VERDADEIRO</v>
      </c>
      <c r="T97" s="516">
        <v>0</v>
      </c>
      <c r="U97" s="590">
        <v>0</v>
      </c>
    </row>
    <row r="98" spans="1:21" hidden="1" x14ac:dyDescent="0.25">
      <c r="B98" s="55" t="str">
        <f>Fluxo_de_Caixa_Janeiro[[#This Row],[Fluxo de Caixa 2026 CTR]]</f>
        <v>3.1.10. TARIFA PIX RECEBIDO</v>
      </c>
      <c r="C98" s="35">
        <f>Fluxo_de_Caixa_Janeiro[[#This Row],[Janeiro]]</f>
        <v>49.06</v>
      </c>
      <c r="D98" s="62">
        <f>Fluxo_de_Caixa_Janeiro3[[#This Row],[Fevereiro]]</f>
        <v>57</v>
      </c>
      <c r="E98" s="62">
        <f>Fluxo_de_Caixa_Janeiro34[[#This Row],[Março]]</f>
        <v>120.46</v>
      </c>
      <c r="F98" s="62">
        <f>Fluxo_de_Caixa_Janeiro345[[#This Row],[ABRIL]]</f>
        <v>32.54</v>
      </c>
      <c r="G98" s="62">
        <f>Fluxo_de_Caixa_Janeiro3459[[#This Row],[MAIO]]</f>
        <v>84.28</v>
      </c>
      <c r="H98" s="62">
        <f>Fluxo_de_Caixa_Janeiro345911[[#This Row],[JUNHO]]</f>
        <v>0</v>
      </c>
      <c r="I98" s="35"/>
      <c r="J98" s="62"/>
      <c r="K98" s="62"/>
      <c r="L98" s="62"/>
      <c r="M98" s="62"/>
      <c r="N98" s="119"/>
      <c r="O98" s="224">
        <f>SUM(Fluxo_de_Caixa_Janeiro310208[[#This Row],[Janeiro]:[Dezembro]])</f>
        <v>343.34000000000003</v>
      </c>
      <c r="P98" s="194">
        <f t="shared" si="6"/>
        <v>7.4084393262262006E-5</v>
      </c>
      <c r="Q98" s="75">
        <v>0</v>
      </c>
      <c r="R98" s="32" t="str">
        <f>IF(Fluxo_de_Caixa_Janeiro310208[[#This Row],[% ACUMULADO  1º SEMEST 2026]]&lt;=Fluxo_de_Caixa_Janeiro310208[[#This Row],[% ACUMULADO  1º SEMEST 2025]],"VERDADEIRO","FALSO")</f>
        <v>FALSO</v>
      </c>
      <c r="T98" s="516">
        <v>0</v>
      </c>
      <c r="U98" s="590">
        <v>0</v>
      </c>
    </row>
    <row r="99" spans="1:21" ht="15.75" hidden="1" thickBot="1" x14ac:dyDescent="0.3">
      <c r="B99" s="276">
        <f>Fluxo_de_Caixa_Janeiro[[#This Row],[Fluxo de Caixa 2026 CTR]]</f>
        <v>0</v>
      </c>
      <c r="C99" s="36">
        <f>Fluxo_de_Caixa_Janeiro[[#This Row],[Janeiro]]</f>
        <v>0</v>
      </c>
      <c r="D99" s="82">
        <f>Fluxo_de_Caixa_Janeiro3[[#This Row],[Fevereiro]]</f>
        <v>0</v>
      </c>
      <c r="E99" s="82">
        <f>Fluxo_de_Caixa_Janeiro34[[#This Row],[Março]]</f>
        <v>0</v>
      </c>
      <c r="F99" s="82">
        <f>Fluxo_de_Caixa_Janeiro345[[#This Row],[ABRIL]]</f>
        <v>0</v>
      </c>
      <c r="G99" s="82">
        <f>Fluxo_de_Caixa_Janeiro3459[[#This Row],[MAIO]]</f>
        <v>0</v>
      </c>
      <c r="H99" s="82">
        <f>Fluxo_de_Caixa_Janeiro345911[[#This Row],[JUNHO]]</f>
        <v>0</v>
      </c>
      <c r="I99" s="36"/>
      <c r="J99" s="82"/>
      <c r="K99" s="82"/>
      <c r="L99" s="82"/>
      <c r="M99" s="82"/>
      <c r="N99" s="120"/>
      <c r="O99" s="225">
        <f>SUM(Fluxo_de_Caixa_Janeiro310208[[#This Row],[Janeiro]:[Dezembro]])</f>
        <v>0</v>
      </c>
      <c r="P99" s="195">
        <f t="shared" si="6"/>
        <v>0</v>
      </c>
      <c r="Q99" s="96">
        <v>0</v>
      </c>
      <c r="R99" s="32" t="str">
        <f>IF(Fluxo_de_Caixa_Janeiro310208[[#This Row],[% ACUMULADO  1º SEMEST 2026]]&lt;=Fluxo_de_Caixa_Janeiro310208[[#This Row],[% ACUMULADO  1º SEMEST 2025]],"VERDADEIRO","FALSO")</f>
        <v>VERDADEIRO</v>
      </c>
      <c r="T99" s="517">
        <v>0</v>
      </c>
      <c r="U99" s="591">
        <v>0</v>
      </c>
    </row>
    <row r="100" spans="1:21" ht="19.5" thickBot="1" x14ac:dyDescent="0.35">
      <c r="A100" s="15" t="s">
        <v>3</v>
      </c>
      <c r="B100" s="168" t="str">
        <f>Fluxo_de_Caixa_Janeiro[[#This Row],[Fluxo de Caixa 2026 CTR]]</f>
        <v>3.2. DESPESA COM FUNCIONÁRIO</v>
      </c>
      <c r="C100" s="158">
        <f>Fluxo_de_Caixa_Janeiro[[#This Row],[Janeiro]]</f>
        <v>-64579.58</v>
      </c>
      <c r="D100" s="97">
        <f>Fluxo_de_Caixa_Janeiro3[[#This Row],[Fevereiro]]</f>
        <v>-65616.5</v>
      </c>
      <c r="E100" s="97">
        <f>Fluxo_de_Caixa_Janeiro34[[#This Row],[Março]]</f>
        <v>-99956.93</v>
      </c>
      <c r="F100" s="97">
        <f>Fluxo_de_Caixa_Janeiro345[[#This Row],[ABRIL]]</f>
        <v>-84685.599999999991</v>
      </c>
      <c r="G100" s="97">
        <f>Fluxo_de_Caixa_Janeiro3459[[#This Row],[MAIO]]</f>
        <v>-71371.38</v>
      </c>
      <c r="H100" s="97">
        <f>Fluxo_de_Caixa_Janeiro345911[[#This Row],[JUNHO]]</f>
        <v>0</v>
      </c>
      <c r="I100" s="158"/>
      <c r="J100" s="97"/>
      <c r="K100" s="97"/>
      <c r="L100" s="97"/>
      <c r="M100" s="97"/>
      <c r="N100" s="129"/>
      <c r="O100" s="226">
        <f>SUM(Fluxo_de_Caixa_Janeiro310208[[#This Row],[Janeiro]:[Dezembro]])</f>
        <v>-386209.99</v>
      </c>
      <c r="P100" s="144">
        <f>-IFERROR(O100/$O$27,"0,00")</f>
        <v>8.3334690921460577E-2</v>
      </c>
      <c r="Q100" s="98">
        <v>8.2189008452481879E-2</v>
      </c>
      <c r="R100" s="32" t="str">
        <f>IF(Fluxo_de_Caixa_Janeiro310208[[#This Row],[% ACUMULADO  1º SEMEST 2026]]&lt;=Fluxo_de_Caixa_Janeiro310208[[#This Row],[% ACUMULADO  1º SEMEST 2025]],"VERDADEIRO","FALSO")</f>
        <v>FALSO</v>
      </c>
      <c r="S100" s="287"/>
      <c r="T100" s="518">
        <v>-465186.69999999995</v>
      </c>
      <c r="U100" s="592">
        <v>8.2189008452481879E-2</v>
      </c>
    </row>
    <row r="101" spans="1:21" x14ac:dyDescent="0.25">
      <c r="B101" s="169" t="str">
        <f>Fluxo_de_Caixa_Janeiro[[#This Row],[Fluxo de Caixa 2026 CTR]]</f>
        <v>3.2.01. Salário (CLT)</v>
      </c>
      <c r="C101" s="41">
        <f>Fluxo_de_Caixa_Janeiro[[#This Row],[Janeiro]]</f>
        <v>31184.5</v>
      </c>
      <c r="D101" s="81">
        <f>Fluxo_de_Caixa_Janeiro3[[#This Row],[Fevereiro]]</f>
        <v>33069.85</v>
      </c>
      <c r="E101" s="81">
        <f>Fluxo_de_Caixa_Janeiro34[[#This Row],[Março]]</f>
        <v>33411.65</v>
      </c>
      <c r="F101" s="81">
        <f>Fluxo_de_Caixa_Janeiro345[[#This Row],[ABRIL]]</f>
        <v>35339.78</v>
      </c>
      <c r="G101" s="81">
        <f>Fluxo_de_Caixa_Janeiro3459[[#This Row],[MAIO]]</f>
        <v>35053.78</v>
      </c>
      <c r="H101" s="81">
        <f>Fluxo_de_Caixa_Janeiro345911[[#This Row],[JUNHO]]</f>
        <v>0</v>
      </c>
      <c r="I101" s="41"/>
      <c r="J101" s="81"/>
      <c r="K101" s="81"/>
      <c r="L101" s="81"/>
      <c r="M101" s="81"/>
      <c r="N101" s="118"/>
      <c r="O101" s="223">
        <f>SUM(Fluxo_de_Caixa_Janeiro310208[[#This Row],[Janeiro]:[Dezembro]])</f>
        <v>168059.56</v>
      </c>
      <c r="P101" s="193">
        <f t="shared" ref="P101:P130" si="7">IFERROR(O101/$O$27,"0,00%")</f>
        <v>3.6263151786924672E-2</v>
      </c>
      <c r="Q101" s="93">
        <v>3.0925768883593097E-2</v>
      </c>
      <c r="R101" s="32" t="str">
        <f>IF(Fluxo_de_Caixa_Janeiro310208[[#This Row],[% ACUMULADO  1º SEMEST 2026]]&lt;=Fluxo_de_Caixa_Janeiro310208[[#This Row],[% ACUMULADO  1º SEMEST 2025]],"VERDADEIRO","FALSO")</f>
        <v>FALSO</v>
      </c>
      <c r="S101" s="287"/>
      <c r="T101" s="515">
        <v>175038.69</v>
      </c>
      <c r="U101" s="589">
        <v>3.0925768883593097E-2</v>
      </c>
    </row>
    <row r="102" spans="1:21" x14ac:dyDescent="0.25">
      <c r="B102" s="55" t="str">
        <f>Fluxo_de_Caixa_Janeiro[[#This Row],[Fluxo de Caixa 2026 CTR]]</f>
        <v>3.2.02. Adiantamento Salários/Vales</v>
      </c>
      <c r="C102" s="35">
        <f>Fluxo_de_Caixa_Janeiro[[#This Row],[Janeiro]]</f>
        <v>1400</v>
      </c>
      <c r="D102" s="62">
        <f>Fluxo_de_Caixa_Janeiro3[[#This Row],[Fevereiro]]</f>
        <v>800</v>
      </c>
      <c r="E102" s="62">
        <f>Fluxo_de_Caixa_Janeiro34[[#This Row],[Março]]</f>
        <v>1450</v>
      </c>
      <c r="F102" s="62">
        <f>Fluxo_de_Caixa_Janeiro345[[#This Row],[ABRIL]]</f>
        <v>1900</v>
      </c>
      <c r="G102" s="62">
        <f>Fluxo_de_Caixa_Janeiro3459[[#This Row],[MAIO]]</f>
        <v>1660</v>
      </c>
      <c r="H102" s="62">
        <f>Fluxo_de_Caixa_Janeiro345911[[#This Row],[JUNHO]]</f>
        <v>0</v>
      </c>
      <c r="I102" s="35"/>
      <c r="J102" s="62"/>
      <c r="K102" s="62"/>
      <c r="L102" s="62"/>
      <c r="M102" s="62"/>
      <c r="N102" s="119"/>
      <c r="O102" s="224">
        <f>SUM(Fluxo_de_Caixa_Janeiro310208[[#This Row],[Janeiro]:[Dezembro]])</f>
        <v>7210</v>
      </c>
      <c r="P102" s="194">
        <f t="shared" si="7"/>
        <v>1.5557420499240084E-3</v>
      </c>
      <c r="Q102" s="75">
        <v>1.5088439376796357E-3</v>
      </c>
      <c r="R102" s="32" t="str">
        <f>IF(Fluxo_de_Caixa_Janeiro310208[[#This Row],[% ACUMULADO  1º SEMEST 2026]]&lt;=Fluxo_de_Caixa_Janeiro310208[[#This Row],[% ACUMULADO  1º SEMEST 2025]],"VERDADEIRO","FALSO")</f>
        <v>FALSO</v>
      </c>
      <c r="S102" s="287"/>
      <c r="T102" s="516">
        <v>8540</v>
      </c>
      <c r="U102" s="590">
        <v>1.5088439376796357E-3</v>
      </c>
    </row>
    <row r="103" spans="1:21" x14ac:dyDescent="0.25">
      <c r="B103" s="55" t="str">
        <f>Fluxo_de_Caixa_Janeiro[[#This Row],[Fluxo de Caixa 2026 CTR]]</f>
        <v xml:space="preserve">3.2.03. Auxilio Alimentação/Refeição </v>
      </c>
      <c r="C103" s="35">
        <f>Fluxo_de_Caixa_Janeiro[[#This Row],[Janeiro]]</f>
        <v>3219.28</v>
      </c>
      <c r="D103" s="62">
        <f>Fluxo_de_Caixa_Janeiro3[[#This Row],[Fevereiro]]</f>
        <v>2091.1</v>
      </c>
      <c r="E103" s="62">
        <f>Fluxo_de_Caixa_Janeiro34[[#This Row],[Março]]</f>
        <v>1920.1299999999999</v>
      </c>
      <c r="F103" s="62">
        <f>Fluxo_de_Caixa_Janeiro345[[#This Row],[ABRIL]]</f>
        <v>1070.8900000000001</v>
      </c>
      <c r="G103" s="62">
        <f>Fluxo_de_Caixa_Janeiro3459[[#This Row],[MAIO]]</f>
        <v>1076.98</v>
      </c>
      <c r="H103" s="62">
        <f>Fluxo_de_Caixa_Janeiro345911[[#This Row],[JUNHO]]</f>
        <v>0</v>
      </c>
      <c r="I103" s="35"/>
      <c r="J103" s="62"/>
      <c r="K103" s="62"/>
      <c r="L103" s="62"/>
      <c r="M103" s="62"/>
      <c r="N103" s="119"/>
      <c r="O103" s="224">
        <f>SUM(Fluxo_de_Caixa_Janeiro310208[[#This Row],[Janeiro]:[Dezembro]])</f>
        <v>9378.3799999999992</v>
      </c>
      <c r="P103" s="194">
        <f t="shared" si="7"/>
        <v>2.0236255376097534E-3</v>
      </c>
      <c r="Q103" s="75">
        <v>3.3522413328104014E-3</v>
      </c>
      <c r="R103" s="32" t="str">
        <f>IF(Fluxo_de_Caixa_Janeiro310208[[#This Row],[% ACUMULADO  1º SEMEST 2026]]&lt;=Fluxo_de_Caixa_Janeiro310208[[#This Row],[% ACUMULADO  1º SEMEST 2025]],"VERDADEIRO","FALSO")</f>
        <v>VERDADEIRO</v>
      </c>
      <c r="S103" s="287"/>
      <c r="T103" s="516">
        <v>18973.560000000001</v>
      </c>
      <c r="U103" s="590">
        <v>3.3522413328104014E-3</v>
      </c>
    </row>
    <row r="104" spans="1:21" x14ac:dyDescent="0.25">
      <c r="B104" s="55" t="str">
        <f>Fluxo_de_Caixa_Janeiro[[#This Row],[Fluxo de Caixa 2026 CTR]]</f>
        <v>3.2.04. Auxilio Combustível</v>
      </c>
      <c r="C104" s="35">
        <f>Fluxo_de_Caixa_Janeiro[[#This Row],[Janeiro]]</f>
        <v>0</v>
      </c>
      <c r="D104" s="62">
        <f>Fluxo_de_Caixa_Janeiro3[[#This Row],[Fevereiro]]</f>
        <v>0</v>
      </c>
      <c r="E104" s="62">
        <f>Fluxo_de_Caixa_Janeiro34[[#This Row],[Março]]</f>
        <v>0</v>
      </c>
      <c r="F104" s="62">
        <f>Fluxo_de_Caixa_Janeiro345[[#This Row],[ABRIL]]</f>
        <v>0</v>
      </c>
      <c r="G104" s="62">
        <f>Fluxo_de_Caixa_Janeiro3459[[#This Row],[MAIO]]</f>
        <v>0</v>
      </c>
      <c r="H104" s="62">
        <f>Fluxo_de_Caixa_Janeiro345911[[#This Row],[JUNHO]]</f>
        <v>0</v>
      </c>
      <c r="I104" s="35"/>
      <c r="J104" s="62"/>
      <c r="K104" s="62"/>
      <c r="L104" s="62"/>
      <c r="M104" s="62"/>
      <c r="N104" s="119"/>
      <c r="O104" s="224">
        <f>SUM(Fluxo_de_Caixa_Janeiro310208[[#This Row],[Janeiro]:[Dezembro]])</f>
        <v>0</v>
      </c>
      <c r="P104" s="194">
        <f t="shared" si="7"/>
        <v>0</v>
      </c>
      <c r="Q104" s="75">
        <v>4.4169904498818377E-5</v>
      </c>
      <c r="R104" s="32" t="str">
        <f>IF(Fluxo_de_Caixa_Janeiro310208[[#This Row],[% ACUMULADO  1º SEMEST 2026]]&lt;=Fluxo_de_Caixa_Janeiro310208[[#This Row],[% ACUMULADO  1º SEMEST 2025]],"VERDADEIRO","FALSO")</f>
        <v>VERDADEIRO</v>
      </c>
      <c r="T104" s="516">
        <v>250</v>
      </c>
      <c r="U104" s="590">
        <v>4.4169904498818377E-5</v>
      </c>
    </row>
    <row r="105" spans="1:21" x14ac:dyDescent="0.25">
      <c r="B105" s="55" t="str">
        <f>Fluxo_de_Caixa_Janeiro[[#This Row],[Fluxo de Caixa 2026 CTR]]</f>
        <v>3.2.05. Seguro de Vida Funcionarios</v>
      </c>
      <c r="C105" s="35">
        <f>Fluxo_de_Caixa_Janeiro[[#This Row],[Janeiro]]</f>
        <v>492.03</v>
      </c>
      <c r="D105" s="62">
        <f>Fluxo_de_Caixa_Janeiro3[[#This Row],[Fevereiro]]</f>
        <v>549.97</v>
      </c>
      <c r="E105" s="62">
        <f>Fluxo_de_Caixa_Janeiro34[[#This Row],[Março]]</f>
        <v>445.17</v>
      </c>
      <c r="F105" s="62">
        <f>Fluxo_de_Caixa_Janeiro345[[#This Row],[ABRIL]]</f>
        <v>445.17</v>
      </c>
      <c r="G105" s="62">
        <f>Fluxo_de_Caixa_Janeiro3459[[#This Row],[MAIO]]</f>
        <v>445.17</v>
      </c>
      <c r="H105" s="62">
        <f>Fluxo_de_Caixa_Janeiro345911[[#This Row],[JUNHO]]</f>
        <v>0</v>
      </c>
      <c r="I105" s="35"/>
      <c r="J105" s="62"/>
      <c r="K105" s="62"/>
      <c r="L105" s="62"/>
      <c r="M105" s="62"/>
      <c r="N105" s="119"/>
      <c r="O105" s="224">
        <f>SUM(Fluxo_de_Caixa_Janeiro310208[[#This Row],[Janeiro]:[Dezembro]])</f>
        <v>2377.5100000000002</v>
      </c>
      <c r="P105" s="194">
        <f t="shared" si="7"/>
        <v>5.1300863815739663E-4</v>
      </c>
      <c r="Q105" s="75">
        <v>3.3191033036592075E-4</v>
      </c>
      <c r="R105" s="32" t="str">
        <f>IF(Fluxo_de_Caixa_Janeiro310208[[#This Row],[% ACUMULADO  1º SEMEST 2026]]&lt;=Fluxo_de_Caixa_Janeiro310208[[#This Row],[% ACUMULADO  1º SEMEST 2025]],"VERDADEIRO","FALSO")</f>
        <v>FALSO</v>
      </c>
      <c r="T105" s="516">
        <v>1878.6</v>
      </c>
      <c r="U105" s="590">
        <v>3.3191033036592075E-4</v>
      </c>
    </row>
    <row r="106" spans="1:21" x14ac:dyDescent="0.25">
      <c r="B106" s="55" t="str">
        <f>Fluxo_de_Caixa_Janeiro[[#This Row],[Fluxo de Caixa 2026 CTR]]</f>
        <v>3.2.06. Confraternização e premiação</v>
      </c>
      <c r="C106" s="35">
        <f>Fluxo_de_Caixa_Janeiro[[#This Row],[Janeiro]]</f>
        <v>650.47</v>
      </c>
      <c r="D106" s="62">
        <f>Fluxo_de_Caixa_Janeiro3[[#This Row],[Fevereiro]]</f>
        <v>438.77</v>
      </c>
      <c r="E106" s="62">
        <f>Fluxo_de_Caixa_Janeiro34[[#This Row],[Março]]</f>
        <v>2053.42</v>
      </c>
      <c r="F106" s="62">
        <f>Fluxo_de_Caixa_Janeiro345[[#This Row],[ABRIL]]</f>
        <v>10852.63</v>
      </c>
      <c r="G106" s="62">
        <f>Fluxo_de_Caixa_Janeiro3459[[#This Row],[MAIO]]</f>
        <v>6869.42</v>
      </c>
      <c r="H106" s="62">
        <f>Fluxo_de_Caixa_Janeiro345911[[#This Row],[JUNHO]]</f>
        <v>0</v>
      </c>
      <c r="I106" s="35"/>
      <c r="J106" s="62"/>
      <c r="K106" s="62"/>
      <c r="L106" s="62"/>
      <c r="M106" s="62"/>
      <c r="N106" s="119"/>
      <c r="O106" s="224">
        <f>SUM(Fluxo_de_Caixa_Janeiro310208[[#This Row],[Janeiro]:[Dezembro]])</f>
        <v>20864.71</v>
      </c>
      <c r="P106" s="194">
        <f t="shared" si="7"/>
        <v>4.5020952436158048E-3</v>
      </c>
      <c r="Q106" s="75">
        <v>1.0354927391275988E-3</v>
      </c>
      <c r="R106" s="32" t="str">
        <f>IF(Fluxo_de_Caixa_Janeiro310208[[#This Row],[% ACUMULADO  1º SEMEST 2026]]&lt;=Fluxo_de_Caixa_Janeiro310208[[#This Row],[% ACUMULADO  1º SEMEST 2025]],"VERDADEIRO","FALSO")</f>
        <v>FALSO</v>
      </c>
      <c r="T106" s="516">
        <v>5860.85</v>
      </c>
      <c r="U106" s="590">
        <v>1.0354927391275988E-3</v>
      </c>
    </row>
    <row r="107" spans="1:21" x14ac:dyDescent="0.25">
      <c r="B107" s="55" t="str">
        <f>Fluxo_de_Caixa_Janeiro[[#This Row],[Fluxo de Caixa 2026 CTR]]</f>
        <v>3.2.07. Viagens e Estadias Funcionarios</v>
      </c>
      <c r="C107" s="35">
        <f>Fluxo_de_Caixa_Janeiro[[#This Row],[Janeiro]]</f>
        <v>0</v>
      </c>
      <c r="D107" s="62">
        <f>Fluxo_de_Caixa_Janeiro3[[#This Row],[Fevereiro]]</f>
        <v>0</v>
      </c>
      <c r="E107" s="62">
        <f>Fluxo_de_Caixa_Janeiro34[[#This Row],[Março]]</f>
        <v>1723.96</v>
      </c>
      <c r="F107" s="62">
        <f>Fluxo_de_Caixa_Janeiro345[[#This Row],[ABRIL]]</f>
        <v>1050</v>
      </c>
      <c r="G107" s="62">
        <f>Fluxo_de_Caixa_Janeiro3459[[#This Row],[MAIO]]</f>
        <v>350</v>
      </c>
      <c r="H107" s="62">
        <f>Fluxo_de_Caixa_Janeiro345911[[#This Row],[JUNHO]]</f>
        <v>0</v>
      </c>
      <c r="I107" s="35"/>
      <c r="J107" s="62"/>
      <c r="K107" s="62"/>
      <c r="L107" s="62"/>
      <c r="M107" s="62"/>
      <c r="N107" s="119"/>
      <c r="O107" s="224">
        <f>SUM(Fluxo_de_Caixa_Janeiro310208[[#This Row],[Janeiro]:[Dezembro]])</f>
        <v>3123.96</v>
      </c>
      <c r="P107" s="194">
        <f t="shared" si="7"/>
        <v>6.7407433207775384E-4</v>
      </c>
      <c r="Q107" s="75">
        <v>7.0671847198109397E-5</v>
      </c>
      <c r="R107" s="32" t="str">
        <f>IF(Fluxo_de_Caixa_Janeiro310208[[#This Row],[% ACUMULADO  1º SEMEST 2026]]&lt;=Fluxo_de_Caixa_Janeiro310208[[#This Row],[% ACUMULADO  1º SEMEST 2025]],"VERDADEIRO","FALSO")</f>
        <v>FALSO</v>
      </c>
      <c r="T107" s="516">
        <v>400</v>
      </c>
      <c r="U107" s="590">
        <v>7.0671847198109397E-5</v>
      </c>
    </row>
    <row r="108" spans="1:21" x14ac:dyDescent="0.25">
      <c r="B108" s="55" t="str">
        <f>Fluxo_de_Caixa_Janeiro[[#This Row],[Fluxo de Caixa 2026 CTR]]</f>
        <v>3.2.08. Treinamento e Cursos</v>
      </c>
      <c r="C108" s="35">
        <f>Fluxo_de_Caixa_Janeiro[[#This Row],[Janeiro]]</f>
        <v>1536</v>
      </c>
      <c r="D108" s="62">
        <f>Fluxo_de_Caixa_Janeiro3[[#This Row],[Fevereiro]]</f>
        <v>0</v>
      </c>
      <c r="E108" s="62">
        <f>Fluxo_de_Caixa_Janeiro34[[#This Row],[Março]]</f>
        <v>6500</v>
      </c>
      <c r="F108" s="62">
        <f>Fluxo_de_Caixa_Janeiro345[[#This Row],[ABRIL]]</f>
        <v>5060</v>
      </c>
      <c r="G108" s="62">
        <f>Fluxo_de_Caixa_Janeiro3459[[#This Row],[MAIO]]</f>
        <v>3610</v>
      </c>
      <c r="H108" s="62">
        <f>Fluxo_de_Caixa_Janeiro345911[[#This Row],[JUNHO]]</f>
        <v>0</v>
      </c>
      <c r="I108" s="35"/>
      <c r="J108" s="62"/>
      <c r="K108" s="62"/>
      <c r="L108" s="62"/>
      <c r="M108" s="62"/>
      <c r="N108" s="119"/>
      <c r="O108" s="224">
        <f>SUM(Fluxo_de_Caixa_Janeiro310208[[#This Row],[Janeiro]:[Dezembro]])</f>
        <v>16706</v>
      </c>
      <c r="P108" s="194">
        <f t="shared" si="7"/>
        <v>3.6047471131803724E-3</v>
      </c>
      <c r="Q108" s="75">
        <v>1.7606123933229004E-3</v>
      </c>
      <c r="R108" s="32" t="str">
        <f>IF(Fluxo_de_Caixa_Janeiro310208[[#This Row],[% ACUMULADO  1º SEMEST 2026]]&lt;=Fluxo_de_Caixa_Janeiro310208[[#This Row],[% ACUMULADO  1º SEMEST 2025]],"VERDADEIRO","FALSO")</f>
        <v>FALSO</v>
      </c>
      <c r="T108" s="516">
        <v>9965</v>
      </c>
      <c r="U108" s="590">
        <v>1.7606123933229004E-3</v>
      </c>
    </row>
    <row r="109" spans="1:21" x14ac:dyDescent="0.25">
      <c r="B109" s="55" t="str">
        <f>Fluxo_de_Caixa_Janeiro[[#This Row],[Fluxo de Caixa 2026 CTR]]</f>
        <v>3.2.09. Ajuda de Custo Faculdade/Pós Graduação</v>
      </c>
      <c r="C109" s="35">
        <f>Fluxo_de_Caixa_Janeiro[[#This Row],[Janeiro]]</f>
        <v>0</v>
      </c>
      <c r="D109" s="62">
        <f>Fluxo_de_Caixa_Janeiro3[[#This Row],[Fevereiro]]</f>
        <v>0</v>
      </c>
      <c r="E109" s="62">
        <f>Fluxo_de_Caixa_Janeiro34[[#This Row],[Março]]</f>
        <v>0</v>
      </c>
      <c r="F109" s="62">
        <f>Fluxo_de_Caixa_Janeiro345[[#This Row],[ABRIL]]</f>
        <v>0</v>
      </c>
      <c r="G109" s="62">
        <f>Fluxo_de_Caixa_Janeiro3459[[#This Row],[MAIO]]</f>
        <v>0</v>
      </c>
      <c r="H109" s="62">
        <f>Fluxo_de_Caixa_Janeiro345911[[#This Row],[JUNHO]]</f>
        <v>0</v>
      </c>
      <c r="I109" s="35"/>
      <c r="J109" s="62"/>
      <c r="K109" s="62"/>
      <c r="L109" s="62"/>
      <c r="M109" s="62"/>
      <c r="N109" s="119"/>
      <c r="O109" s="224">
        <f>SUM(Fluxo_de_Caixa_Janeiro310208[[#This Row],[Janeiro]:[Dezembro]])</f>
        <v>0</v>
      </c>
      <c r="P109" s="194">
        <f t="shared" si="7"/>
        <v>0</v>
      </c>
      <c r="Q109" s="75">
        <v>0</v>
      </c>
      <c r="R109" s="32" t="str">
        <f>IF(Fluxo_de_Caixa_Janeiro310208[[#This Row],[% ACUMULADO  1º SEMEST 2026]]&lt;=Fluxo_de_Caixa_Janeiro310208[[#This Row],[% ACUMULADO  1º SEMEST 2025]],"VERDADEIRO","FALSO")</f>
        <v>VERDADEIRO</v>
      </c>
      <c r="T109" s="516">
        <v>0</v>
      </c>
      <c r="U109" s="590">
        <v>0</v>
      </c>
    </row>
    <row r="110" spans="1:21" x14ac:dyDescent="0.25">
      <c r="B110" s="55" t="str">
        <f>Fluxo_de_Caixa_Janeiro[[#This Row],[Fluxo de Caixa 2026 CTR]]</f>
        <v>3.2.10. Férias</v>
      </c>
      <c r="C110" s="35">
        <f>Fluxo_de_Caixa_Janeiro[[#This Row],[Janeiro]]</f>
        <v>0</v>
      </c>
      <c r="D110" s="62">
        <f>Fluxo_de_Caixa_Janeiro3[[#This Row],[Fevereiro]]</f>
        <v>0</v>
      </c>
      <c r="E110" s="62">
        <f>Fluxo_de_Caixa_Janeiro34[[#This Row],[Março]]</f>
        <v>0</v>
      </c>
      <c r="F110" s="62">
        <f>Fluxo_de_Caixa_Janeiro345[[#This Row],[ABRIL]]</f>
        <v>0</v>
      </c>
      <c r="G110" s="62">
        <f>Fluxo_de_Caixa_Janeiro3459[[#This Row],[MAIO]]</f>
        <v>0</v>
      </c>
      <c r="H110" s="62">
        <f>Fluxo_de_Caixa_Janeiro345911[[#This Row],[JUNHO]]</f>
        <v>0</v>
      </c>
      <c r="I110" s="35"/>
      <c r="J110" s="62"/>
      <c r="K110" s="62"/>
      <c r="L110" s="62"/>
      <c r="M110" s="62"/>
      <c r="N110" s="119"/>
      <c r="O110" s="224">
        <f>SUM(Fluxo_de_Caixa_Janeiro310208[[#This Row],[Janeiro]:[Dezembro]])</f>
        <v>0</v>
      </c>
      <c r="P110" s="194">
        <f t="shared" si="7"/>
        <v>0</v>
      </c>
      <c r="Q110" s="75">
        <v>2.3028598089121943E-4</v>
      </c>
      <c r="R110" s="32" t="str">
        <f>IF(Fluxo_de_Caixa_Janeiro310208[[#This Row],[% ACUMULADO  1º SEMEST 2026]]&lt;=Fluxo_de_Caixa_Janeiro310208[[#This Row],[% ACUMULADO  1º SEMEST 2025]],"VERDADEIRO","FALSO")</f>
        <v>VERDADEIRO</v>
      </c>
      <c r="T110" s="516">
        <v>1303.4100000000001</v>
      </c>
      <c r="U110" s="590">
        <v>2.3028598089121943E-4</v>
      </c>
    </row>
    <row r="111" spans="1:21" x14ac:dyDescent="0.25">
      <c r="B111" s="55" t="str">
        <f>Fluxo_de_Caixa_Janeiro[[#This Row],[Fluxo de Caixa 2026 CTR]]</f>
        <v>3.2.11. Auxilio Saúde e Odontológico</v>
      </c>
      <c r="C111" s="35">
        <f>Fluxo_de_Caixa_Janeiro[[#This Row],[Janeiro]]</f>
        <v>2500</v>
      </c>
      <c r="D111" s="62">
        <f>Fluxo_de_Caixa_Janeiro3[[#This Row],[Fevereiro]]</f>
        <v>0</v>
      </c>
      <c r="E111" s="62">
        <f>Fluxo_de_Caixa_Janeiro34[[#This Row],[Março]]</f>
        <v>0</v>
      </c>
      <c r="F111" s="62">
        <f>Fluxo_de_Caixa_Janeiro345[[#This Row],[ABRIL]]</f>
        <v>0</v>
      </c>
      <c r="G111" s="62">
        <f>Fluxo_de_Caixa_Janeiro3459[[#This Row],[MAIO]]</f>
        <v>45.15</v>
      </c>
      <c r="H111" s="62">
        <f>Fluxo_de_Caixa_Janeiro345911[[#This Row],[JUNHO]]</f>
        <v>0</v>
      </c>
      <c r="I111" s="35"/>
      <c r="J111" s="62"/>
      <c r="K111" s="62"/>
      <c r="L111" s="62"/>
      <c r="M111" s="62"/>
      <c r="N111" s="119"/>
      <c r="O111" s="224">
        <f>SUM(Fluxo_de_Caixa_Janeiro310208[[#This Row],[Janeiro]:[Dezembro]])</f>
        <v>2545.15</v>
      </c>
      <c r="P111" s="194">
        <f t="shared" si="7"/>
        <v>5.4918125913510263E-4</v>
      </c>
      <c r="Q111" s="75">
        <v>1.4981724887527211E-3</v>
      </c>
      <c r="R111" s="32" t="str">
        <f>IF(Fluxo_de_Caixa_Janeiro310208[[#This Row],[% ACUMULADO  1º SEMEST 2026]]&lt;=Fluxo_de_Caixa_Janeiro310208[[#This Row],[% ACUMULADO  1º SEMEST 2025]],"VERDADEIRO","FALSO")</f>
        <v>VERDADEIRO</v>
      </c>
      <c r="T111" s="516">
        <v>8479.6</v>
      </c>
      <c r="U111" s="590">
        <v>1.4981724887527211E-3</v>
      </c>
    </row>
    <row r="112" spans="1:21" x14ac:dyDescent="0.25">
      <c r="B112" s="55" t="str">
        <f>Fluxo_de_Caixa_Janeiro[[#This Row],[Fluxo de Caixa 2026 CTR]]</f>
        <v>3.2.12. Vale Transporte</v>
      </c>
      <c r="C112" s="35">
        <f>Fluxo_de_Caixa_Janeiro[[#This Row],[Janeiro]]</f>
        <v>350</v>
      </c>
      <c r="D112" s="62">
        <f>Fluxo_de_Caixa_Janeiro3[[#This Row],[Fevereiro]]</f>
        <v>400</v>
      </c>
      <c r="E112" s="62">
        <f>Fluxo_de_Caixa_Janeiro34[[#This Row],[Março]]</f>
        <v>400</v>
      </c>
      <c r="F112" s="62">
        <f>Fluxo_de_Caixa_Janeiro345[[#This Row],[ABRIL]]</f>
        <v>0</v>
      </c>
      <c r="G112" s="62">
        <f>Fluxo_de_Caixa_Janeiro3459[[#This Row],[MAIO]]</f>
        <v>0</v>
      </c>
      <c r="H112" s="62">
        <f>Fluxo_de_Caixa_Janeiro345911[[#This Row],[JUNHO]]</f>
        <v>0</v>
      </c>
      <c r="I112" s="35"/>
      <c r="J112" s="62"/>
      <c r="K112" s="62"/>
      <c r="L112" s="62"/>
      <c r="M112" s="62"/>
      <c r="N112" s="119"/>
      <c r="O112" s="224">
        <f>SUM(Fluxo_de_Caixa_Janeiro310208[[#This Row],[Janeiro]:[Dezembro]])</f>
        <v>1150</v>
      </c>
      <c r="P112" s="194">
        <f t="shared" si="7"/>
        <v>2.4814193584086125E-4</v>
      </c>
      <c r="Q112" s="75">
        <v>0</v>
      </c>
      <c r="R112" s="32" t="str">
        <f>IF(Fluxo_de_Caixa_Janeiro310208[[#This Row],[% ACUMULADO  1º SEMEST 2026]]&lt;=Fluxo_de_Caixa_Janeiro310208[[#This Row],[% ACUMULADO  1º SEMEST 2025]],"VERDADEIRO","FALSO")</f>
        <v>FALSO</v>
      </c>
      <c r="T112" s="516">
        <v>0</v>
      </c>
      <c r="U112" s="590">
        <v>0</v>
      </c>
    </row>
    <row r="113" spans="2:21" x14ac:dyDescent="0.25">
      <c r="B113" s="55" t="str">
        <f>Fluxo_de_Caixa_Janeiro[[#This Row],[Fluxo de Caixa 2026 CTR]]</f>
        <v>3.2.13. FGTS</v>
      </c>
      <c r="C113" s="35">
        <f>Fluxo_de_Caixa_Janeiro[[#This Row],[Janeiro]]</f>
        <v>2161</v>
      </c>
      <c r="D113" s="62">
        <f>Fluxo_de_Caixa_Janeiro3[[#This Row],[Fevereiro]]</f>
        <v>4123.54</v>
      </c>
      <c r="E113" s="62">
        <f>Fluxo_de_Caixa_Janeiro34[[#This Row],[Março]]</f>
        <v>3924.18</v>
      </c>
      <c r="F113" s="62">
        <f>Fluxo_de_Caixa_Janeiro345[[#This Row],[ABRIL]]</f>
        <v>2588.12</v>
      </c>
      <c r="G113" s="62">
        <f>Fluxo_de_Caixa_Janeiro3459[[#This Row],[MAIO]]</f>
        <v>2865.4</v>
      </c>
      <c r="H113" s="62">
        <f>Fluxo_de_Caixa_Janeiro345911[[#This Row],[JUNHO]]</f>
        <v>0</v>
      </c>
      <c r="I113" s="35"/>
      <c r="J113" s="62"/>
      <c r="K113" s="62"/>
      <c r="L113" s="62"/>
      <c r="M113" s="62"/>
      <c r="N113" s="119"/>
      <c r="O113" s="224">
        <f>SUM(Fluxo_de_Caixa_Janeiro310208[[#This Row],[Janeiro]:[Dezembro]])</f>
        <v>15662.24</v>
      </c>
      <c r="P113" s="194">
        <f t="shared" si="7"/>
        <v>3.3795291766992789E-3</v>
      </c>
      <c r="Q113" s="75">
        <v>2.7137476953181822E-3</v>
      </c>
      <c r="R113" s="32" t="str">
        <f>IF(Fluxo_de_Caixa_Janeiro310208[[#This Row],[% ACUMULADO  1º SEMEST 2026]]&lt;=Fluxo_de_Caixa_Janeiro310208[[#This Row],[% ACUMULADO  1º SEMEST 2025]],"VERDADEIRO","FALSO")</f>
        <v>FALSO</v>
      </c>
      <c r="T113" s="516">
        <v>15359.710000000001</v>
      </c>
      <c r="U113" s="590">
        <v>2.7137476953181822E-3</v>
      </c>
    </row>
    <row r="114" spans="2:21" x14ac:dyDescent="0.25">
      <c r="B114" s="169" t="str">
        <f>Fluxo_de_Caixa_Janeiro[[#This Row],[Fluxo de Caixa 2026 CTR]]</f>
        <v xml:space="preserve">3.2.14. INSS/GPS </v>
      </c>
      <c r="C114" s="41">
        <f>Fluxo_de_Caixa_Janeiro[[#This Row],[Janeiro]]</f>
        <v>11529.3</v>
      </c>
      <c r="D114" s="81">
        <f>Fluxo_de_Caixa_Janeiro3[[#This Row],[Fevereiro]]</f>
        <v>11912.77</v>
      </c>
      <c r="E114" s="81">
        <f>Fluxo_de_Caixa_Janeiro34[[#This Row],[Março]]</f>
        <v>11292.06</v>
      </c>
      <c r="F114" s="81">
        <f>Fluxo_de_Caixa_Janeiro345[[#This Row],[ABRIL]]</f>
        <v>13320.75</v>
      </c>
      <c r="G114" s="81">
        <f>Fluxo_de_Caixa_Janeiro3459[[#This Row],[MAIO]]</f>
        <v>8759.4500000000007</v>
      </c>
      <c r="H114" s="81">
        <f>Fluxo_de_Caixa_Janeiro345911[[#This Row],[JUNHO]]</f>
        <v>0</v>
      </c>
      <c r="I114" s="41"/>
      <c r="J114" s="81"/>
      <c r="K114" s="81"/>
      <c r="L114" s="81"/>
      <c r="M114" s="81"/>
      <c r="N114" s="118"/>
      <c r="O114" s="223">
        <f>SUM(Fluxo_de_Caixa_Janeiro310208[[#This Row],[Janeiro]:[Dezembro]])</f>
        <v>56814.33</v>
      </c>
      <c r="P114" s="193">
        <f t="shared" si="7"/>
        <v>1.2259145938870886E-2</v>
      </c>
      <c r="Q114" s="93">
        <v>1.5812915917182157E-2</v>
      </c>
      <c r="R114" s="32" t="str">
        <f>IF(Fluxo_de_Caixa_Janeiro310208[[#This Row],[% ACUMULADO  1º SEMEST 2026]]&lt;=Fluxo_de_Caixa_Janeiro310208[[#This Row],[% ACUMULADO  1º SEMEST 2025]],"VERDADEIRO","FALSO")</f>
        <v>VERDADEIRO</v>
      </c>
      <c r="T114" s="515">
        <v>89500.510000000009</v>
      </c>
      <c r="U114" s="589">
        <v>1.5812915917182157E-2</v>
      </c>
    </row>
    <row r="115" spans="2:21" x14ac:dyDescent="0.25">
      <c r="B115" s="55" t="str">
        <f>Fluxo_de_Caixa_Janeiro[[#This Row],[Fluxo de Caixa 2026 CTR]]</f>
        <v>3.2.15. Contribuição Sindical</v>
      </c>
      <c r="C115" s="35">
        <f>Fluxo_de_Caixa_Janeiro[[#This Row],[Janeiro]]</f>
        <v>88</v>
      </c>
      <c r="D115" s="62">
        <f>Fluxo_de_Caixa_Janeiro3[[#This Row],[Fevereiro]]</f>
        <v>220</v>
      </c>
      <c r="E115" s="62">
        <f>Fluxo_de_Caixa_Janeiro34[[#This Row],[Março]]</f>
        <v>220</v>
      </c>
      <c r="F115" s="62">
        <f>Fluxo_de_Caixa_Janeiro345[[#This Row],[ABRIL]]</f>
        <v>176</v>
      </c>
      <c r="G115" s="62">
        <f>Fluxo_de_Caixa_Janeiro3459[[#This Row],[MAIO]]</f>
        <v>308</v>
      </c>
      <c r="H115" s="62">
        <f>Fluxo_de_Caixa_Janeiro345911[[#This Row],[JUNHO]]</f>
        <v>0</v>
      </c>
      <c r="I115" s="35"/>
      <c r="J115" s="62"/>
      <c r="K115" s="62"/>
      <c r="L115" s="62"/>
      <c r="M115" s="62"/>
      <c r="N115" s="119"/>
      <c r="O115" s="224">
        <f>SUM(Fluxo_de_Caixa_Janeiro310208[[#This Row],[Janeiro]:[Dezembro]])</f>
        <v>1012</v>
      </c>
      <c r="P115" s="194">
        <f t="shared" si="7"/>
        <v>2.1836490353995791E-4</v>
      </c>
      <c r="Q115" s="75">
        <v>3.4427083644087011E-4</v>
      </c>
      <c r="R115" s="32" t="str">
        <f>IF(Fluxo_de_Caixa_Janeiro310208[[#This Row],[% ACUMULADO  1º SEMEST 2026]]&lt;=Fluxo_de_Caixa_Janeiro310208[[#This Row],[% ACUMULADO  1º SEMEST 2025]],"VERDADEIRO","FALSO")</f>
        <v>VERDADEIRO</v>
      </c>
      <c r="T115" s="516">
        <v>1948.56</v>
      </c>
      <c r="U115" s="590">
        <v>3.4427083644087011E-4</v>
      </c>
    </row>
    <row r="116" spans="2:21" x14ac:dyDescent="0.25">
      <c r="B116" s="55" t="str">
        <f>Fluxo_de_Caixa_Janeiro[[#This Row],[Fluxo de Caixa 2026 CTR]]</f>
        <v xml:space="preserve">3.2.16. Rescisão Trabalhista </v>
      </c>
      <c r="C116" s="35">
        <f>Fluxo_de_Caixa_Janeiro[[#This Row],[Janeiro]]</f>
        <v>0</v>
      </c>
      <c r="D116" s="62">
        <f>Fluxo_de_Caixa_Janeiro3[[#This Row],[Fevereiro]]</f>
        <v>0</v>
      </c>
      <c r="E116" s="62">
        <f>Fluxo_de_Caixa_Janeiro34[[#This Row],[Março]]</f>
        <v>22337.95</v>
      </c>
      <c r="F116" s="62">
        <f>Fluxo_de_Caixa_Janeiro345[[#This Row],[ABRIL]]</f>
        <v>0</v>
      </c>
      <c r="G116" s="62">
        <f>Fluxo_de_Caixa_Janeiro3459[[#This Row],[MAIO]]</f>
        <v>0</v>
      </c>
      <c r="H116" s="62">
        <f>Fluxo_de_Caixa_Janeiro345911[[#This Row],[JUNHO]]</f>
        <v>0</v>
      </c>
      <c r="I116" s="35"/>
      <c r="J116" s="62"/>
      <c r="K116" s="62"/>
      <c r="L116" s="62"/>
      <c r="M116" s="62"/>
      <c r="N116" s="119"/>
      <c r="O116" s="224">
        <f>SUM(Fluxo_de_Caixa_Janeiro310208[[#This Row],[Janeiro]:[Dezembro]])</f>
        <v>22337.95</v>
      </c>
      <c r="P116" s="194">
        <f t="shared" si="7"/>
        <v>4.8199844832316234E-3</v>
      </c>
      <c r="Q116" s="75">
        <v>1.2269676850134144E-2</v>
      </c>
      <c r="R116" s="32" t="str">
        <f>IF(Fluxo_de_Caixa_Janeiro310208[[#This Row],[% ACUMULADO  1º SEMEST 2026]]&lt;=Fluxo_de_Caixa_Janeiro310208[[#This Row],[% ACUMULADO  1º SEMEST 2025]],"VERDADEIRO","FALSO")</f>
        <v>VERDADEIRO</v>
      </c>
      <c r="T116" s="516">
        <v>69445.91</v>
      </c>
      <c r="U116" s="590">
        <v>1.2269676850134144E-2</v>
      </c>
    </row>
    <row r="117" spans="2:21" x14ac:dyDescent="0.25">
      <c r="B117" s="55" t="str">
        <f>Fluxo_de_Caixa_Janeiro[[#This Row],[Fluxo de Caixa 2026 CTR]]</f>
        <v xml:space="preserve">3.2.17. Seleção e Contratação </v>
      </c>
      <c r="C117" s="35">
        <f>Fluxo_de_Caixa_Janeiro[[#This Row],[Janeiro]]</f>
        <v>0</v>
      </c>
      <c r="D117" s="62">
        <f>Fluxo_de_Caixa_Janeiro3[[#This Row],[Fevereiro]]</f>
        <v>2070</v>
      </c>
      <c r="E117" s="62">
        <f>Fluxo_de_Caixa_Janeiro34[[#This Row],[Março]]</f>
        <v>920</v>
      </c>
      <c r="F117" s="62">
        <f>Fluxo_de_Caixa_Janeiro345[[#This Row],[ABRIL]]</f>
        <v>0</v>
      </c>
      <c r="G117" s="62">
        <f>Fluxo_de_Caixa_Janeiro3459[[#This Row],[MAIO]]</f>
        <v>0</v>
      </c>
      <c r="H117" s="62">
        <f>Fluxo_de_Caixa_Janeiro345911[[#This Row],[JUNHO]]</f>
        <v>0</v>
      </c>
      <c r="I117" s="35"/>
      <c r="J117" s="62"/>
      <c r="K117" s="62"/>
      <c r="L117" s="62"/>
      <c r="M117" s="62"/>
      <c r="N117" s="119"/>
      <c r="O117" s="224">
        <f>SUM(Fluxo_de_Caixa_Janeiro310208[[#This Row],[Janeiro]:[Dezembro]])</f>
        <v>2990</v>
      </c>
      <c r="P117" s="194">
        <f t="shared" si="7"/>
        <v>6.4516903318623925E-4</v>
      </c>
      <c r="Q117" s="75">
        <v>0</v>
      </c>
      <c r="R117" s="32" t="str">
        <f>IF(Fluxo_de_Caixa_Janeiro310208[[#This Row],[% ACUMULADO  1º SEMEST 2026]]&lt;=Fluxo_de_Caixa_Janeiro310208[[#This Row],[% ACUMULADO  1º SEMEST 2025]],"VERDADEIRO","FALSO")</f>
        <v>FALSO</v>
      </c>
      <c r="T117" s="516">
        <v>0</v>
      </c>
      <c r="U117" s="590">
        <v>0</v>
      </c>
    </row>
    <row r="118" spans="2:21" x14ac:dyDescent="0.25">
      <c r="B118" s="55" t="str">
        <f>Fluxo_de_Caixa_Janeiro[[#This Row],[Fluxo de Caixa 2026 CTR]]</f>
        <v>3.2.18. ASO</v>
      </c>
      <c r="C118" s="35">
        <f>Fluxo_de_Caixa_Janeiro[[#This Row],[Janeiro]]</f>
        <v>0</v>
      </c>
      <c r="D118" s="62">
        <f>Fluxo_de_Caixa_Janeiro3[[#This Row],[Fevereiro]]</f>
        <v>245</v>
      </c>
      <c r="E118" s="62">
        <f>Fluxo_de_Caixa_Janeiro34[[#This Row],[Março]]</f>
        <v>290</v>
      </c>
      <c r="F118" s="62">
        <f>Fluxo_de_Caixa_Janeiro345[[#This Row],[ABRIL]]</f>
        <v>2186</v>
      </c>
      <c r="G118" s="62">
        <f>Fluxo_de_Caixa_Janeiro3459[[#This Row],[MAIO]]</f>
        <v>390</v>
      </c>
      <c r="H118" s="62">
        <f>Fluxo_de_Caixa_Janeiro345911[[#This Row],[JUNHO]]</f>
        <v>0</v>
      </c>
      <c r="I118" s="35"/>
      <c r="J118" s="62"/>
      <c r="K118" s="62"/>
      <c r="L118" s="62"/>
      <c r="M118" s="62"/>
      <c r="N118" s="119"/>
      <c r="O118" s="224">
        <f>SUM(Fluxo_de_Caixa_Janeiro310208[[#This Row],[Janeiro]:[Dezembro]])</f>
        <v>3111</v>
      </c>
      <c r="P118" s="194">
        <f t="shared" si="7"/>
        <v>6.7127788034862556E-4</v>
      </c>
      <c r="Q118" s="75">
        <v>9.5406993717447685E-5</v>
      </c>
      <c r="R118" s="32" t="str">
        <f>IF(Fluxo_de_Caixa_Janeiro310208[[#This Row],[% ACUMULADO  1º SEMEST 2026]]&lt;=Fluxo_de_Caixa_Janeiro310208[[#This Row],[% ACUMULADO  1º SEMEST 2025]],"VERDADEIRO","FALSO")</f>
        <v>FALSO</v>
      </c>
      <c r="T118" s="516">
        <v>540</v>
      </c>
      <c r="U118" s="590">
        <v>9.5406993717447685E-5</v>
      </c>
    </row>
    <row r="119" spans="2:21" x14ac:dyDescent="0.25">
      <c r="B119" s="55" t="str">
        <f>Fluxo_de_Caixa_Janeiro[[#This Row],[Fluxo de Caixa 2026 CTR]]</f>
        <v>3.2.19. IRRF S/ Salário</v>
      </c>
      <c r="C119" s="35">
        <f>Fluxo_de_Caixa_Janeiro[[#This Row],[Janeiro]]</f>
        <v>0</v>
      </c>
      <c r="D119" s="62">
        <f>Fluxo_de_Caixa_Janeiro3[[#This Row],[Fevereiro]]</f>
        <v>0</v>
      </c>
      <c r="E119" s="62">
        <f>Fluxo_de_Caixa_Janeiro34[[#This Row],[Março]]</f>
        <v>0</v>
      </c>
      <c r="F119" s="62">
        <f>Fluxo_de_Caixa_Janeiro345[[#This Row],[ABRIL]]</f>
        <v>0</v>
      </c>
      <c r="G119" s="62">
        <f>Fluxo_de_Caixa_Janeiro3459[[#This Row],[MAIO]]</f>
        <v>0</v>
      </c>
      <c r="H119" s="407">
        <f>Fluxo_de_Caixa_Janeiro345911[[#This Row],[JUNHO]]</f>
        <v>0</v>
      </c>
      <c r="I119" s="35"/>
      <c r="J119" s="62"/>
      <c r="K119" s="62"/>
      <c r="L119" s="62"/>
      <c r="M119" s="62"/>
      <c r="N119" s="119"/>
      <c r="O119" s="224">
        <f>SUM(Fluxo_de_Caixa_Janeiro310208[[#This Row],[Janeiro]:[Dezembro]])</f>
        <v>0</v>
      </c>
      <c r="P119" s="194">
        <f t="shared" si="7"/>
        <v>0</v>
      </c>
      <c r="Q119" s="75">
        <v>0</v>
      </c>
      <c r="R119" s="32" t="str">
        <f>IF(Fluxo_de_Caixa_Janeiro310208[[#This Row],[% ACUMULADO  1º SEMEST 2026]]&lt;=Fluxo_de_Caixa_Janeiro310208[[#This Row],[% ACUMULADO  1º SEMEST 2025]],"VERDADEIRO","FALSO")</f>
        <v>VERDADEIRO</v>
      </c>
      <c r="T119" s="516">
        <v>0</v>
      </c>
      <c r="U119" s="590">
        <v>0</v>
      </c>
    </row>
    <row r="120" spans="2:21" x14ac:dyDescent="0.25">
      <c r="B120" s="55" t="str">
        <f>Fluxo_de_Caixa_Janeiro[[#This Row],[Fluxo de Caixa 2026 CTR]]</f>
        <v>3.2.20. Despesa com Terceirizado</v>
      </c>
      <c r="C120" s="35">
        <f>Fluxo_de_Caixa_Janeiro[[#This Row],[Janeiro]]</f>
        <v>9469</v>
      </c>
      <c r="D120" s="62">
        <f>Fluxo_de_Caixa_Janeiro3[[#This Row],[Fevereiro]]</f>
        <v>9695.5</v>
      </c>
      <c r="E120" s="62">
        <f>Fluxo_de_Caixa_Janeiro34[[#This Row],[Março]]</f>
        <v>11195.5</v>
      </c>
      <c r="F120" s="62">
        <f>Fluxo_de_Caixa_Janeiro345[[#This Row],[ABRIL]]</f>
        <v>10065.5</v>
      </c>
      <c r="G120" s="62">
        <f>Fluxo_de_Caixa_Janeiro3459[[#This Row],[MAIO]]</f>
        <v>9589</v>
      </c>
      <c r="H120" s="62">
        <f>Fluxo_de_Caixa_Janeiro345911[[#This Row],[JUNHO]]</f>
        <v>0</v>
      </c>
      <c r="I120" s="35"/>
      <c r="J120" s="62"/>
      <c r="K120" s="62"/>
      <c r="L120" s="62"/>
      <c r="M120" s="62"/>
      <c r="N120" s="119"/>
      <c r="O120" s="224">
        <f>SUM(Fluxo_de_Caixa_Janeiro310208[[#This Row],[Janeiro]:[Dezembro]])</f>
        <v>50014.5</v>
      </c>
      <c r="P120" s="194">
        <f t="shared" si="7"/>
        <v>1.079190856531544E-2</v>
      </c>
      <c r="Q120" s="75">
        <v>9.0924720148716602E-3</v>
      </c>
      <c r="R120" s="32" t="str">
        <f>IF(Fluxo_de_Caixa_Janeiro310208[[#This Row],[% ACUMULADO  1º SEMEST 2026]]&lt;=Fluxo_de_Caixa_Janeiro310208[[#This Row],[% ACUMULADO  1º SEMEST 2025]],"VERDADEIRO","FALSO")</f>
        <v>FALSO</v>
      </c>
      <c r="T120" s="516">
        <v>51463.05</v>
      </c>
      <c r="U120" s="590">
        <v>9.0924720148716602E-3</v>
      </c>
    </row>
    <row r="121" spans="2:21" x14ac:dyDescent="0.25">
      <c r="B121" s="55" t="str">
        <f>Fluxo_de_Caixa_Janeiro[[#This Row],[Fluxo de Caixa 2026 CTR]]</f>
        <v>3.2.21. Uniformes e EPI</v>
      </c>
      <c r="C121" s="35">
        <f>Fluxo_de_Caixa_Janeiro[[#This Row],[Janeiro]]</f>
        <v>0</v>
      </c>
      <c r="D121" s="62">
        <f>Fluxo_de_Caixa_Janeiro3[[#This Row],[Fevereiro]]</f>
        <v>0</v>
      </c>
      <c r="E121" s="62">
        <f>Fluxo_de_Caixa_Janeiro34[[#This Row],[Março]]</f>
        <v>1118</v>
      </c>
      <c r="F121" s="62">
        <f>Fluxo_de_Caixa_Janeiro345[[#This Row],[ABRIL]]</f>
        <v>630.76</v>
      </c>
      <c r="G121" s="62">
        <f>Fluxo_de_Caixa_Janeiro3459[[#This Row],[MAIO]]</f>
        <v>349.03</v>
      </c>
      <c r="H121" s="62">
        <f>Fluxo_de_Caixa_Janeiro345911[[#This Row],[JUNHO]]</f>
        <v>0</v>
      </c>
      <c r="I121" s="35"/>
      <c r="J121" s="62"/>
      <c r="K121" s="62"/>
      <c r="L121" s="62"/>
      <c r="M121" s="62"/>
      <c r="N121" s="119"/>
      <c r="O121" s="224">
        <f>SUM(Fluxo_de_Caixa_Janeiro310208[[#This Row],[Janeiro]:[Dezembro]])</f>
        <v>2097.79</v>
      </c>
      <c r="P121" s="194">
        <f t="shared" si="7"/>
        <v>4.5265188833704378E-4</v>
      </c>
      <c r="Q121" s="75">
        <v>1.10234830657701E-3</v>
      </c>
      <c r="R121" s="32" t="str">
        <f>IF(Fluxo_de_Caixa_Janeiro310208[[#This Row],[% ACUMULADO  1º SEMEST 2026]]&lt;=Fluxo_de_Caixa_Janeiro310208[[#This Row],[% ACUMULADO  1º SEMEST 2025]],"VERDADEIRO","FALSO")</f>
        <v>VERDADEIRO</v>
      </c>
      <c r="T121" s="516">
        <v>6239.25</v>
      </c>
      <c r="U121" s="590">
        <v>1.10234830657701E-3</v>
      </c>
    </row>
    <row r="122" spans="2:21" x14ac:dyDescent="0.25">
      <c r="B122" s="55" t="str">
        <f>Fluxo_de_Caixa_Janeiro[[#This Row],[Fluxo de Caixa 2026 CTR]]</f>
        <v>3.2.22. Adiantamento de 13º Salário</v>
      </c>
      <c r="C122" s="35">
        <f>Fluxo_de_Caixa_Janeiro[[#This Row],[Janeiro]]</f>
        <v>0</v>
      </c>
      <c r="D122" s="62">
        <f>Fluxo_de_Caixa_Janeiro3[[#This Row],[Fevereiro]]</f>
        <v>0</v>
      </c>
      <c r="E122" s="62">
        <f>Fluxo_de_Caixa_Janeiro34[[#This Row],[Março]]</f>
        <v>0</v>
      </c>
      <c r="F122" s="62">
        <f>Fluxo_de_Caixa_Janeiro345[[#This Row],[ABRIL]]</f>
        <v>0</v>
      </c>
      <c r="G122" s="62">
        <f>Fluxo_de_Caixa_Janeiro3459[[#This Row],[MAIO]]</f>
        <v>0</v>
      </c>
      <c r="H122" s="62">
        <f>Fluxo_de_Caixa_Janeiro345911[[#This Row],[JUNHO]]</f>
        <v>0</v>
      </c>
      <c r="I122" s="35"/>
      <c r="J122" s="62"/>
      <c r="K122" s="62"/>
      <c r="L122" s="62"/>
      <c r="M122" s="62"/>
      <c r="N122" s="119"/>
      <c r="O122" s="224">
        <f>SUM(Fluxo_de_Caixa_Janeiro310208[[#This Row],[Janeiro]:[Dezembro]])</f>
        <v>0</v>
      </c>
      <c r="P122" s="194">
        <f t="shared" si="7"/>
        <v>0</v>
      </c>
      <c r="Q122" s="75">
        <v>0</v>
      </c>
      <c r="R122" s="32" t="str">
        <f>IF(Fluxo_de_Caixa_Janeiro310208[[#This Row],[% ACUMULADO  1º SEMEST 2026]]&lt;=Fluxo_de_Caixa_Janeiro310208[[#This Row],[% ACUMULADO  1º SEMEST 2025]],"VERDADEIRO","FALSO")</f>
        <v>VERDADEIRO</v>
      </c>
      <c r="T122" s="516">
        <v>0</v>
      </c>
      <c r="U122" s="590">
        <v>0</v>
      </c>
    </row>
    <row r="123" spans="2:21" ht="15.75" thickBot="1" x14ac:dyDescent="0.3">
      <c r="B123" s="55" t="str">
        <f>Fluxo_de_Caixa_Janeiro[[#This Row],[Fluxo de Caixa 2026 CTR]]</f>
        <v>3.2.23. Decimo Terceiro Integral</v>
      </c>
      <c r="C123" s="35">
        <f>Fluxo_de_Caixa_Janeiro[[#This Row],[Janeiro]]</f>
        <v>0</v>
      </c>
      <c r="D123" s="62">
        <f>Fluxo_de_Caixa_Janeiro3[[#This Row],[Fevereiro]]</f>
        <v>0</v>
      </c>
      <c r="E123" s="62">
        <f>Fluxo_de_Caixa_Janeiro34[[#This Row],[Março]]</f>
        <v>754.91</v>
      </c>
      <c r="F123" s="62">
        <f>Fluxo_de_Caixa_Janeiro345[[#This Row],[ABRIL]]</f>
        <v>0</v>
      </c>
      <c r="G123" s="62">
        <f>Fluxo_de_Caixa_Janeiro3459[[#This Row],[MAIO]]</f>
        <v>0</v>
      </c>
      <c r="H123" s="62">
        <f>Fluxo_de_Caixa_Janeiro345911[[#This Row],[JUNHO]]</f>
        <v>0</v>
      </c>
      <c r="I123" s="35"/>
      <c r="J123" s="62"/>
      <c r="K123" s="62"/>
      <c r="L123" s="62"/>
      <c r="M123" s="62"/>
      <c r="N123" s="119"/>
      <c r="O123" s="224">
        <f>SUM(Fluxo_de_Caixa_Janeiro310208[[#This Row],[Janeiro]:[Dezembro]])</f>
        <v>754.91</v>
      </c>
      <c r="P123" s="194">
        <f t="shared" si="7"/>
        <v>1.6289115546576049E-4</v>
      </c>
      <c r="Q123" s="75">
        <v>0</v>
      </c>
      <c r="R123" s="32" t="str">
        <f>IF(Fluxo_de_Caixa_Janeiro310208[[#This Row],[% ACUMULADO  1º SEMEST 2026]]&lt;=Fluxo_de_Caixa_Janeiro310208[[#This Row],[% ACUMULADO  1º SEMEST 2025]],"VERDADEIRO","FALSO")</f>
        <v>FALSO</v>
      </c>
      <c r="T123" s="516">
        <v>0</v>
      </c>
      <c r="U123" s="590">
        <v>0</v>
      </c>
    </row>
    <row r="124" spans="2:21" hidden="1" x14ac:dyDescent="0.25">
      <c r="B124" s="378">
        <f>Fluxo_de_Caixa_Janeiro[[#This Row],[Fluxo de Caixa 2026 CTR]]</f>
        <v>0</v>
      </c>
      <c r="C124" s="357">
        <f>Fluxo_de_Caixa_Janeiro[[#This Row],[Janeiro]]</f>
        <v>0</v>
      </c>
      <c r="D124" s="306">
        <f>Fluxo_de_Caixa_Janeiro3[[#This Row],[Fevereiro]]</f>
        <v>0</v>
      </c>
      <c r="E124" s="306">
        <f>Fluxo_de_Caixa_Janeiro34[[#This Row],[Março]]</f>
        <v>0</v>
      </c>
      <c r="F124" s="306">
        <f>Fluxo_de_Caixa_Janeiro345[[#This Row],[ABRIL]]</f>
        <v>0</v>
      </c>
      <c r="G124" s="306">
        <f>Fluxo_de_Caixa_Janeiro3459[[#This Row],[MAIO]]</f>
        <v>0</v>
      </c>
      <c r="H124" s="306">
        <f>Fluxo_de_Caixa_Janeiro345911[[#This Row],[JUNHO]]</f>
        <v>0</v>
      </c>
      <c r="I124" s="357"/>
      <c r="J124" s="306"/>
      <c r="K124" s="306"/>
      <c r="L124" s="306"/>
      <c r="M124" s="306"/>
      <c r="N124" s="360"/>
      <c r="O124" s="396">
        <f>SUM(Fluxo_de_Caixa_Janeiro310208[[#This Row],[Janeiro]:[Dezembro]])</f>
        <v>0</v>
      </c>
      <c r="P124" s="194">
        <f t="shared" si="7"/>
        <v>0</v>
      </c>
      <c r="Q124" s="75">
        <v>0</v>
      </c>
      <c r="R124" s="32"/>
      <c r="T124" s="519">
        <v>0</v>
      </c>
      <c r="U124" s="590">
        <v>0</v>
      </c>
    </row>
    <row r="125" spans="2:21" hidden="1" x14ac:dyDescent="0.25">
      <c r="B125" s="385">
        <f>Fluxo_de_Caixa_Janeiro[[#This Row],[Fluxo de Caixa 2026 CTR]]</f>
        <v>0</v>
      </c>
      <c r="C125" s="357">
        <f>Fluxo_de_Caixa_Janeiro[[#This Row],[Janeiro]]</f>
        <v>0</v>
      </c>
      <c r="D125" s="306">
        <f>Fluxo_de_Caixa_Janeiro3[[#This Row],[Fevereiro]]</f>
        <v>0</v>
      </c>
      <c r="E125" s="306">
        <f>Fluxo_de_Caixa_Janeiro34[[#This Row],[Março]]</f>
        <v>0</v>
      </c>
      <c r="F125" s="306">
        <f>Fluxo_de_Caixa_Janeiro345[[#This Row],[ABRIL]]</f>
        <v>0</v>
      </c>
      <c r="G125" s="306">
        <f>Fluxo_de_Caixa_Janeiro3459[[#This Row],[MAIO]]</f>
        <v>0</v>
      </c>
      <c r="H125" s="306">
        <f>Fluxo_de_Caixa_Janeiro345911[[#This Row],[JUNHO]]</f>
        <v>0</v>
      </c>
      <c r="I125" s="357"/>
      <c r="J125" s="306"/>
      <c r="K125" s="306"/>
      <c r="L125" s="306"/>
      <c r="M125" s="306"/>
      <c r="N125" s="360"/>
      <c r="O125" s="396">
        <f>SUM(Fluxo_de_Caixa_Janeiro310208[[#This Row],[Janeiro]:[Dezembro]])</f>
        <v>0</v>
      </c>
      <c r="P125" s="194">
        <f t="shared" si="7"/>
        <v>0</v>
      </c>
      <c r="Q125" s="75">
        <v>0</v>
      </c>
      <c r="R125" s="32"/>
      <c r="T125" s="519">
        <v>0</v>
      </c>
      <c r="U125" s="590">
        <v>0</v>
      </c>
    </row>
    <row r="126" spans="2:21" hidden="1" x14ac:dyDescent="0.25">
      <c r="B126" s="378">
        <f>Fluxo_de_Caixa_Janeiro[[#This Row],[Fluxo de Caixa 2026 CTR]]</f>
        <v>0</v>
      </c>
      <c r="C126" s="358">
        <f>Fluxo_de_Caixa_Janeiro[[#This Row],[Janeiro]]</f>
        <v>0</v>
      </c>
      <c r="D126" s="359">
        <f>Fluxo_de_Caixa_Janeiro3[[#This Row],[Fevereiro]]</f>
        <v>0</v>
      </c>
      <c r="E126" s="359">
        <f>Fluxo_de_Caixa_Janeiro34[[#This Row],[Março]]</f>
        <v>0</v>
      </c>
      <c r="F126" s="359">
        <f>Fluxo_de_Caixa_Janeiro345[[#This Row],[ABRIL]]</f>
        <v>0</v>
      </c>
      <c r="G126" s="359">
        <f>Fluxo_de_Caixa_Janeiro3459[[#This Row],[MAIO]]</f>
        <v>0</v>
      </c>
      <c r="H126" s="359">
        <f>Fluxo_de_Caixa_Janeiro345911[[#This Row],[JUNHO]]</f>
        <v>0</v>
      </c>
      <c r="I126" s="358"/>
      <c r="J126" s="359"/>
      <c r="K126" s="359"/>
      <c r="L126" s="359"/>
      <c r="M126" s="359"/>
      <c r="N126" s="361"/>
      <c r="O126" s="396">
        <f>SUM(Fluxo_de_Caixa_Janeiro310208[[#This Row],[Janeiro]:[Dezembro]])</f>
        <v>0</v>
      </c>
      <c r="P126" s="194">
        <f t="shared" si="7"/>
        <v>0</v>
      </c>
      <c r="Q126" s="75">
        <v>0</v>
      </c>
      <c r="R126" s="32"/>
      <c r="T126" s="519">
        <v>0</v>
      </c>
      <c r="U126" s="590">
        <v>0</v>
      </c>
    </row>
    <row r="127" spans="2:21" hidden="1" x14ac:dyDescent="0.25">
      <c r="B127" s="385">
        <f>Fluxo_de_Caixa_Janeiro[[#This Row],[Fluxo de Caixa 2026 CTR]]</f>
        <v>0</v>
      </c>
      <c r="C127" s="358">
        <f>Fluxo_de_Caixa_Janeiro[[#This Row],[Janeiro]]</f>
        <v>0</v>
      </c>
      <c r="D127" s="359">
        <f>Fluxo_de_Caixa_Janeiro3[[#This Row],[Fevereiro]]</f>
        <v>0</v>
      </c>
      <c r="E127" s="359">
        <f>Fluxo_de_Caixa_Janeiro34[[#This Row],[Março]]</f>
        <v>0</v>
      </c>
      <c r="F127" s="359">
        <f>Fluxo_de_Caixa_Janeiro345[[#This Row],[ABRIL]]</f>
        <v>0</v>
      </c>
      <c r="G127" s="359">
        <f>Fluxo_de_Caixa_Janeiro3459[[#This Row],[MAIO]]</f>
        <v>0</v>
      </c>
      <c r="H127" s="359">
        <f>Fluxo_de_Caixa_Janeiro345911[[#This Row],[JUNHO]]</f>
        <v>0</v>
      </c>
      <c r="I127" s="358"/>
      <c r="J127" s="359"/>
      <c r="K127" s="359"/>
      <c r="L127" s="359"/>
      <c r="M127" s="359"/>
      <c r="N127" s="361"/>
      <c r="O127" s="396">
        <f>SUM(Fluxo_de_Caixa_Janeiro310208[[#This Row],[Janeiro]:[Dezembro]])</f>
        <v>0</v>
      </c>
      <c r="P127" s="194">
        <f t="shared" si="7"/>
        <v>0</v>
      </c>
      <c r="Q127" s="75">
        <v>0</v>
      </c>
      <c r="R127" s="32"/>
      <c r="T127" s="519">
        <v>0</v>
      </c>
      <c r="U127" s="590">
        <v>0</v>
      </c>
    </row>
    <row r="128" spans="2:21" hidden="1" x14ac:dyDescent="0.25">
      <c r="B128" s="55">
        <f>Fluxo_de_Caixa_Janeiro[[#This Row],[Fluxo de Caixa 2026 CTR]]</f>
        <v>0</v>
      </c>
      <c r="C128" s="35">
        <f>Fluxo_de_Caixa_Janeiro[[#This Row],[Janeiro]]</f>
        <v>0</v>
      </c>
      <c r="D128" s="62">
        <f>Fluxo_de_Caixa_Janeiro3[[#This Row],[Fevereiro]]</f>
        <v>0</v>
      </c>
      <c r="E128" s="62">
        <f>Fluxo_de_Caixa_Janeiro34[[#This Row],[Março]]</f>
        <v>0</v>
      </c>
      <c r="F128" s="62">
        <f>Fluxo_de_Caixa_Janeiro345[[#This Row],[ABRIL]]</f>
        <v>0</v>
      </c>
      <c r="G128" s="62">
        <f>Fluxo_de_Caixa_Janeiro3459[[#This Row],[MAIO]]</f>
        <v>0</v>
      </c>
      <c r="H128" s="62">
        <f>Fluxo_de_Caixa_Janeiro345911[[#This Row],[JUNHO]]</f>
        <v>0</v>
      </c>
      <c r="I128" s="35"/>
      <c r="J128" s="62"/>
      <c r="K128" s="62"/>
      <c r="L128" s="62"/>
      <c r="M128" s="62"/>
      <c r="N128" s="119"/>
      <c r="O128" s="224">
        <f>SUM(Fluxo_de_Caixa_Janeiro310208[[#This Row],[Janeiro]:[Dezembro]])</f>
        <v>0</v>
      </c>
      <c r="P128" s="194">
        <f t="shared" si="7"/>
        <v>0</v>
      </c>
      <c r="Q128" s="75">
        <v>0</v>
      </c>
      <c r="R128" s="32" t="str">
        <f>IF(Fluxo_de_Caixa_Janeiro310208[[#This Row],[% ACUMULADO  1º SEMEST 2026]]&lt;=Fluxo_de_Caixa_Janeiro310208[[#This Row],[% ACUMULADO  1º SEMEST 2025]],"VERDADEIRO","FALSO")</f>
        <v>VERDADEIRO</v>
      </c>
      <c r="T128" s="516">
        <v>0</v>
      </c>
      <c r="U128" s="590">
        <v>0</v>
      </c>
    </row>
    <row r="129" spans="1:21" hidden="1" x14ac:dyDescent="0.25">
      <c r="B129" s="55">
        <f>Fluxo_de_Caixa_Janeiro[[#This Row],[Fluxo de Caixa 2026 CTR]]</f>
        <v>0</v>
      </c>
      <c r="C129" s="35">
        <f>Fluxo_de_Caixa_Janeiro[[#This Row],[Janeiro]]</f>
        <v>0</v>
      </c>
      <c r="D129" s="62">
        <f>Fluxo_de_Caixa_Janeiro3[[#This Row],[Fevereiro]]</f>
        <v>0</v>
      </c>
      <c r="E129" s="62">
        <f>Fluxo_de_Caixa_Janeiro34[[#This Row],[Março]]</f>
        <v>0</v>
      </c>
      <c r="F129" s="62">
        <f>Fluxo_de_Caixa_Janeiro345[[#This Row],[ABRIL]]</f>
        <v>0</v>
      </c>
      <c r="G129" s="62">
        <f>Fluxo_de_Caixa_Janeiro3459[[#This Row],[MAIO]]</f>
        <v>0</v>
      </c>
      <c r="H129" s="62">
        <f>Fluxo_de_Caixa_Janeiro345911[[#This Row],[JUNHO]]</f>
        <v>0</v>
      </c>
      <c r="I129" s="35"/>
      <c r="J129" s="62"/>
      <c r="K129" s="62"/>
      <c r="L129" s="62"/>
      <c r="M129" s="62"/>
      <c r="N129" s="119"/>
      <c r="O129" s="224">
        <f>SUM(Fluxo_de_Caixa_Janeiro310208[[#This Row],[Janeiro]:[Dezembro]])</f>
        <v>0</v>
      </c>
      <c r="P129" s="194">
        <f t="shared" si="7"/>
        <v>0</v>
      </c>
      <c r="Q129" s="75">
        <v>0</v>
      </c>
      <c r="R129" s="32" t="str">
        <f>IF(Fluxo_de_Caixa_Janeiro310208[[#This Row],[% ACUMULADO  1º SEMEST 2026]]&lt;=Fluxo_de_Caixa_Janeiro310208[[#This Row],[% ACUMULADO  1º SEMEST 2025]],"VERDADEIRO","FALSO")</f>
        <v>VERDADEIRO</v>
      </c>
      <c r="T129" s="516">
        <v>0</v>
      </c>
      <c r="U129" s="590">
        <v>0</v>
      </c>
    </row>
    <row r="130" spans="1:21" ht="15.75" hidden="1" thickBot="1" x14ac:dyDescent="0.3">
      <c r="B130" s="276">
        <f>Fluxo_de_Caixa_Janeiro[[#This Row],[Fluxo de Caixa 2026 CTR]]</f>
        <v>0</v>
      </c>
      <c r="C130" s="36">
        <f>Fluxo_de_Caixa_Janeiro[[#This Row],[Janeiro]]</f>
        <v>0</v>
      </c>
      <c r="D130" s="82">
        <f>Fluxo_de_Caixa_Janeiro3[[#This Row],[Fevereiro]]</f>
        <v>0</v>
      </c>
      <c r="E130" s="82">
        <f>Fluxo_de_Caixa_Janeiro34[[#This Row],[Março]]</f>
        <v>0</v>
      </c>
      <c r="F130" s="82">
        <f>Fluxo_de_Caixa_Janeiro345[[#This Row],[ABRIL]]</f>
        <v>0</v>
      </c>
      <c r="G130" s="82">
        <f>Fluxo_de_Caixa_Janeiro3459[[#This Row],[MAIO]]</f>
        <v>0</v>
      </c>
      <c r="H130" s="82">
        <f>Fluxo_de_Caixa_Janeiro345911[[#This Row],[JUNHO]]</f>
        <v>0</v>
      </c>
      <c r="I130" s="36"/>
      <c r="J130" s="82"/>
      <c r="K130" s="82"/>
      <c r="L130" s="82"/>
      <c r="M130" s="82"/>
      <c r="N130" s="120"/>
      <c r="O130" s="225">
        <f>SUM(Fluxo_de_Caixa_Janeiro310208[[#This Row],[Janeiro]:[Dezembro]])</f>
        <v>0</v>
      </c>
      <c r="P130" s="195">
        <f t="shared" si="7"/>
        <v>0</v>
      </c>
      <c r="Q130" s="96">
        <v>0</v>
      </c>
      <c r="R130" s="32" t="str">
        <f>IF(Fluxo_de_Caixa_Janeiro310208[[#This Row],[% ACUMULADO  1º SEMEST 2026]]&lt;=Fluxo_de_Caixa_Janeiro310208[[#This Row],[% ACUMULADO  1º SEMEST 2025]],"VERDADEIRO","FALSO")</f>
        <v>VERDADEIRO</v>
      </c>
      <c r="T130" s="517">
        <v>0</v>
      </c>
      <c r="U130" s="591">
        <v>0</v>
      </c>
    </row>
    <row r="131" spans="1:21" ht="19.5" thickBot="1" x14ac:dyDescent="0.35">
      <c r="A131" s="16" t="s">
        <v>5</v>
      </c>
      <c r="B131" s="277" t="str">
        <f>Fluxo_de_Caixa_Janeiro[[#This Row],[Fluxo de Caixa 2026 CTR]]</f>
        <v>3.3. DESPESAS INFORMATICA</v>
      </c>
      <c r="C131" s="158">
        <f>Fluxo_de_Caixa_Janeiro[[#This Row],[Janeiro]]</f>
        <v>-5693.12</v>
      </c>
      <c r="D131" s="97">
        <f>Fluxo_de_Caixa_Janeiro3[[#This Row],[Fevereiro]]</f>
        <v>-6089.2800000000007</v>
      </c>
      <c r="E131" s="97">
        <f>Fluxo_de_Caixa_Janeiro34[[#This Row],[Março]]</f>
        <v>-6861.52</v>
      </c>
      <c r="F131" s="97">
        <f>Fluxo_de_Caixa_Janeiro345[[#This Row],[ABRIL]]</f>
        <v>-5481.52</v>
      </c>
      <c r="G131" s="97">
        <f>Fluxo_de_Caixa_Janeiro3459[[#This Row],[MAIO]]</f>
        <v>-5281.52</v>
      </c>
      <c r="H131" s="97">
        <f>Fluxo_de_Caixa_Janeiro345911[[#This Row],[JUNHO]]</f>
        <v>0</v>
      </c>
      <c r="I131" s="158"/>
      <c r="J131" s="97"/>
      <c r="K131" s="97"/>
      <c r="L131" s="97"/>
      <c r="M131" s="97"/>
      <c r="N131" s="129"/>
      <c r="O131" s="226">
        <f>SUM(Fluxo_de_Caixa_Janeiro310208[[#This Row],[Janeiro]:[Dezembro]])</f>
        <v>-29406.960000000003</v>
      </c>
      <c r="P131" s="144">
        <f>-IFERROR(O131/$O$27,"0,00")</f>
        <v>6.3453043318215429E-3</v>
      </c>
      <c r="Q131" s="98">
        <v>6.2930029024945312E-3</v>
      </c>
      <c r="R131" s="32" t="str">
        <f>IF(Fluxo_de_Caixa_Janeiro310208[[#This Row],[% ACUMULADO  1º SEMEST 2026]]&lt;=Fluxo_de_Caixa_Janeiro310208[[#This Row],[% ACUMULADO  1º SEMEST 2025]],"VERDADEIRO","FALSO")</f>
        <v>FALSO</v>
      </c>
      <c r="T131" s="518">
        <v>-35618.160000000003</v>
      </c>
      <c r="U131" s="592">
        <v>6.2930029024945312E-3</v>
      </c>
    </row>
    <row r="132" spans="1:21" x14ac:dyDescent="0.25">
      <c r="B132" s="169" t="str">
        <f>Fluxo_de_Caixa_Janeiro[[#This Row],[Fluxo de Caixa 2026 CTR]]</f>
        <v>3.3.01. Aquisição Equipamento Informa. Não Imobilizavel</v>
      </c>
      <c r="C132" s="41">
        <f>Fluxo_de_Caixa_Janeiro[[#This Row],[Janeiro]]</f>
        <v>0</v>
      </c>
      <c r="D132" s="81">
        <f>Fluxo_de_Caixa_Janeiro3[[#This Row],[Fevereiro]]</f>
        <v>0</v>
      </c>
      <c r="E132" s="81">
        <f>Fluxo_de_Caixa_Janeiro34[[#This Row],[Março]]</f>
        <v>0</v>
      </c>
      <c r="F132" s="81">
        <f>Fluxo_de_Caixa_Janeiro345[[#This Row],[ABRIL]]</f>
        <v>200</v>
      </c>
      <c r="G132" s="81">
        <f>Fluxo_de_Caixa_Janeiro3459[[#This Row],[MAIO]]</f>
        <v>0</v>
      </c>
      <c r="H132" s="81">
        <f>Fluxo_de_Caixa_Janeiro345911[[#This Row],[JUNHO]]</f>
        <v>0</v>
      </c>
      <c r="I132" s="41"/>
      <c r="J132" s="81"/>
      <c r="K132" s="81"/>
      <c r="L132" s="81"/>
      <c r="M132" s="81"/>
      <c r="N132" s="118"/>
      <c r="O132" s="223">
        <f>SUM(Fluxo_de_Caixa_Janeiro310208[[#This Row],[Janeiro]:[Dezembro]])</f>
        <v>200</v>
      </c>
      <c r="P132" s="193">
        <f t="shared" ref="P132:P144" si="8">IFERROR(O132/$O$27,"0,00%")</f>
        <v>4.3155119276671523E-5</v>
      </c>
      <c r="Q132" s="93">
        <v>1.221071709481294E-3</v>
      </c>
      <c r="R132" s="32" t="str">
        <f>IF(Fluxo_de_Caixa_Janeiro310208[[#This Row],[% ACUMULADO  1º SEMEST 2026]]&lt;=Fluxo_de_Caixa_Janeiro310208[[#This Row],[% ACUMULADO  1º SEMEST 2025]],"VERDADEIRO","FALSO")</f>
        <v>VERDADEIRO</v>
      </c>
      <c r="T132" s="515">
        <v>6911.2199999999993</v>
      </c>
      <c r="U132" s="589">
        <v>1.221071709481294E-3</v>
      </c>
    </row>
    <row r="133" spans="1:21" hidden="1" x14ac:dyDescent="0.25">
      <c r="B133" s="55">
        <f>Fluxo_de_Caixa_Janeiro[[#This Row],[Fluxo de Caixa 2026 CTR]]</f>
        <v>0</v>
      </c>
      <c r="C133" s="35">
        <f>Fluxo_de_Caixa_Janeiro[[#This Row],[Janeiro]]</f>
        <v>0</v>
      </c>
      <c r="D133" s="62">
        <f>Fluxo_de_Caixa_Janeiro3[[#This Row],[Fevereiro]]</f>
        <v>0</v>
      </c>
      <c r="E133" s="62">
        <f>Fluxo_de_Caixa_Janeiro34[[#This Row],[Março]]</f>
        <v>0</v>
      </c>
      <c r="F133" s="62">
        <f>Fluxo_de_Caixa_Janeiro345[[#This Row],[ABRIL]]</f>
        <v>0</v>
      </c>
      <c r="G133" s="62">
        <f>Fluxo_de_Caixa_Janeiro3459[[#This Row],[MAIO]]</f>
        <v>0</v>
      </c>
      <c r="H133" s="62">
        <f>Fluxo_de_Caixa_Janeiro345911[[#This Row],[JUNHO]]</f>
        <v>0</v>
      </c>
      <c r="I133" s="35"/>
      <c r="J133" s="62"/>
      <c r="K133" s="62"/>
      <c r="L133" s="62"/>
      <c r="M133" s="62"/>
      <c r="N133" s="119"/>
      <c r="O133" s="224">
        <f>SUM(Fluxo_de_Caixa_Janeiro310208[[#This Row],[Janeiro]:[Dezembro]])</f>
        <v>0</v>
      </c>
      <c r="P133" s="194">
        <f t="shared" si="8"/>
        <v>0</v>
      </c>
      <c r="Q133" s="75">
        <v>0</v>
      </c>
      <c r="R133" s="32" t="str">
        <f>IF(Fluxo_de_Caixa_Janeiro310208[[#This Row],[% ACUMULADO  1º SEMEST 2026]]&lt;=Fluxo_de_Caixa_Janeiro310208[[#This Row],[% ACUMULADO  1º SEMEST 2025]],"VERDADEIRO","FALSO")</f>
        <v>VERDADEIRO</v>
      </c>
      <c r="T133" s="516">
        <v>0</v>
      </c>
      <c r="U133" s="590">
        <v>0</v>
      </c>
    </row>
    <row r="134" spans="1:21" x14ac:dyDescent="0.25">
      <c r="B134" s="55" t="str">
        <f>Fluxo_de_Caixa_Janeiro[[#This Row],[Fluxo de Caixa 2026 CTR]]</f>
        <v>3.3.03. Consultoria de TI</v>
      </c>
      <c r="C134" s="35">
        <f>Fluxo_de_Caixa_Janeiro[[#This Row],[Janeiro]]</f>
        <v>2050</v>
      </c>
      <c r="D134" s="62">
        <f>Fluxo_de_Caixa_Janeiro3[[#This Row],[Fevereiro]]</f>
        <v>1350</v>
      </c>
      <c r="E134" s="62">
        <f>Fluxo_de_Caixa_Janeiro34[[#This Row],[Março]]</f>
        <v>3380</v>
      </c>
      <c r="F134" s="62">
        <f>Fluxo_de_Caixa_Janeiro345[[#This Row],[ABRIL]]</f>
        <v>1800</v>
      </c>
      <c r="G134" s="62">
        <f>Fluxo_de_Caixa_Janeiro3459[[#This Row],[MAIO]]</f>
        <v>1800</v>
      </c>
      <c r="H134" s="62">
        <f>Fluxo_de_Caixa_Janeiro345911[[#This Row],[JUNHO]]</f>
        <v>0</v>
      </c>
      <c r="I134" s="35"/>
      <c r="J134" s="62"/>
      <c r="K134" s="62"/>
      <c r="L134" s="62"/>
      <c r="M134" s="62"/>
      <c r="N134" s="119"/>
      <c r="O134" s="224">
        <f>SUM(Fluxo_de_Caixa_Janeiro310208[[#This Row],[Janeiro]:[Dezembro]])</f>
        <v>10380</v>
      </c>
      <c r="P134" s="194">
        <f t="shared" si="8"/>
        <v>2.2397506904592518E-3</v>
      </c>
      <c r="Q134" s="75">
        <v>1.5636146192581704E-3</v>
      </c>
      <c r="R134" s="32" t="str">
        <f>IF(Fluxo_de_Caixa_Janeiro310208[[#This Row],[% ACUMULADO  1º SEMEST 2026]]&lt;=Fluxo_de_Caixa_Janeiro310208[[#This Row],[% ACUMULADO  1º SEMEST 2025]],"VERDADEIRO","FALSO")</f>
        <v>FALSO</v>
      </c>
      <c r="T134" s="516">
        <v>8850</v>
      </c>
      <c r="U134" s="590">
        <v>1.5636146192581704E-3</v>
      </c>
    </row>
    <row r="135" spans="1:21" x14ac:dyDescent="0.25">
      <c r="B135" s="55" t="str">
        <f>Fluxo_de_Caixa_Janeiro[[#This Row],[Fluxo de Caixa 2026 CTR]]</f>
        <v>3.3.04. Mensalidade Programa de Tecnologia Informatica</v>
      </c>
      <c r="C135" s="35">
        <f>Fluxo_de_Caixa_Janeiro[[#This Row],[Janeiro]]</f>
        <v>3163.12</v>
      </c>
      <c r="D135" s="62">
        <f>Fluxo_de_Caixa_Janeiro3[[#This Row],[Fevereiro]]</f>
        <v>3462.52</v>
      </c>
      <c r="E135" s="62">
        <f>Fluxo_de_Caixa_Janeiro34[[#This Row],[Março]]</f>
        <v>3481.52</v>
      </c>
      <c r="F135" s="62">
        <f>Fluxo_de_Caixa_Janeiro345[[#This Row],[ABRIL]]</f>
        <v>3481.52</v>
      </c>
      <c r="G135" s="62">
        <f>Fluxo_de_Caixa_Janeiro3459[[#This Row],[MAIO]]</f>
        <v>3481.52</v>
      </c>
      <c r="H135" s="62">
        <f>Fluxo_de_Caixa_Janeiro345911[[#This Row],[JUNHO]]</f>
        <v>0</v>
      </c>
      <c r="I135" s="35"/>
      <c r="J135" s="62"/>
      <c r="K135" s="62"/>
      <c r="L135" s="62"/>
      <c r="M135" s="62"/>
      <c r="N135" s="119"/>
      <c r="O135" s="224">
        <f>SUM(Fluxo_de_Caixa_Janeiro310208[[#This Row],[Janeiro]:[Dezembro]])</f>
        <v>17070.2</v>
      </c>
      <c r="P135" s="194">
        <f t="shared" si="8"/>
        <v>3.6833325853831912E-3</v>
      </c>
      <c r="Q135" s="75">
        <v>3.0641334133378684E-3</v>
      </c>
      <c r="R135" s="32" t="str">
        <f>IF(Fluxo_de_Caixa_Janeiro310208[[#This Row],[% ACUMULADO  1º SEMEST 2026]]&lt;=Fluxo_de_Caixa_Janeiro310208[[#This Row],[% ACUMULADO  1º SEMEST 2025]],"VERDADEIRO","FALSO")</f>
        <v>FALSO</v>
      </c>
      <c r="T135" s="516">
        <v>17342.879999999997</v>
      </c>
      <c r="U135" s="590">
        <v>3.0641334133378684E-3</v>
      </c>
    </row>
    <row r="136" spans="1:21" x14ac:dyDescent="0.25">
      <c r="B136" s="55" t="str">
        <f>Fluxo_de_Caixa_Janeiro[[#This Row],[Fluxo de Caixa 2026 CTR]]</f>
        <v>3.3.05. MANUT E REPAROS EM EQUIPAME. INFORMATI</v>
      </c>
      <c r="C136" s="35">
        <f>Fluxo_de_Caixa_Janeiro[[#This Row],[Janeiro]]</f>
        <v>480</v>
      </c>
      <c r="D136" s="62">
        <f>Fluxo_de_Caixa_Janeiro3[[#This Row],[Fevereiro]]</f>
        <v>336.62</v>
      </c>
      <c r="E136" s="62">
        <f>Fluxo_de_Caixa_Janeiro34[[#This Row],[Março]]</f>
        <v>0</v>
      </c>
      <c r="F136" s="62">
        <f>Fluxo_de_Caixa_Janeiro345[[#This Row],[ABRIL]]</f>
        <v>0</v>
      </c>
      <c r="G136" s="62">
        <f>Fluxo_de_Caixa_Janeiro3459[[#This Row],[MAIO]]</f>
        <v>0</v>
      </c>
      <c r="H136" s="62">
        <f>Fluxo_de_Caixa_Janeiro345911[[#This Row],[JUNHO]]</f>
        <v>0</v>
      </c>
      <c r="I136" s="35"/>
      <c r="J136" s="62"/>
      <c r="K136" s="62"/>
      <c r="L136" s="62"/>
      <c r="M136" s="62"/>
      <c r="N136" s="119"/>
      <c r="O136" s="224">
        <f>SUM(Fluxo_de_Caixa_Janeiro310208[[#This Row],[Janeiro]:[Dezembro]])</f>
        <v>816.62</v>
      </c>
      <c r="P136" s="194">
        <f t="shared" si="8"/>
        <v>1.7620666751857751E-4</v>
      </c>
      <c r="Q136" s="75">
        <v>2.466447467214018E-4</v>
      </c>
      <c r="R136" s="32" t="str">
        <f>IF(Fluxo_de_Caixa_Janeiro310208[[#This Row],[% ACUMULADO  1º SEMEST 2026]]&lt;=Fluxo_de_Caixa_Janeiro310208[[#This Row],[% ACUMULADO  1º SEMEST 2025]],"VERDADEIRO","FALSO")</f>
        <v>VERDADEIRO</v>
      </c>
      <c r="T136" s="516">
        <v>1396</v>
      </c>
      <c r="U136" s="590">
        <v>2.466447467214018E-4</v>
      </c>
    </row>
    <row r="137" spans="1:21" x14ac:dyDescent="0.25">
      <c r="B137" s="55" t="str">
        <f>Fluxo_de_Caixa_Janeiro[[#This Row],[Fluxo de Caixa 2026 CTR]]</f>
        <v>3.3.06. Manutenção Sitemas e Softwares</v>
      </c>
      <c r="C137" s="35">
        <f>Fluxo_de_Caixa_Janeiro[[#This Row],[Janeiro]]</f>
        <v>0</v>
      </c>
      <c r="D137" s="62">
        <f>Fluxo_de_Caixa_Janeiro3[[#This Row],[Fevereiro]]</f>
        <v>940.14</v>
      </c>
      <c r="E137" s="62">
        <f>Fluxo_de_Caixa_Janeiro34[[#This Row],[Março]]</f>
        <v>0</v>
      </c>
      <c r="F137" s="62">
        <f>Fluxo_de_Caixa_Janeiro345[[#This Row],[ABRIL]]</f>
        <v>0</v>
      </c>
      <c r="G137" s="62">
        <f>Fluxo_de_Caixa_Janeiro3459[[#This Row],[MAIO]]</f>
        <v>0</v>
      </c>
      <c r="H137" s="62">
        <f>Fluxo_de_Caixa_Janeiro345911[[#This Row],[JUNHO]]</f>
        <v>0</v>
      </c>
      <c r="I137" s="35"/>
      <c r="J137" s="62"/>
      <c r="K137" s="62"/>
      <c r="L137" s="62"/>
      <c r="M137" s="62"/>
      <c r="N137" s="119"/>
      <c r="O137" s="224">
        <f>SUM(Fluxo_de_Caixa_Janeiro310208[[#This Row],[Janeiro]:[Dezembro]])</f>
        <v>940.14</v>
      </c>
      <c r="P137" s="194">
        <f t="shared" si="8"/>
        <v>2.0285926918384983E-4</v>
      </c>
      <c r="Q137" s="75">
        <v>1.9753841369579548E-4</v>
      </c>
      <c r="R137" s="32" t="str">
        <f>IF(Fluxo_de_Caixa_Janeiro310208[[#This Row],[% ACUMULADO  1º SEMEST 2026]]&lt;=Fluxo_de_Caixa_Janeiro310208[[#This Row],[% ACUMULADO  1º SEMEST 2025]],"VERDADEIRO","FALSO")</f>
        <v>FALSO</v>
      </c>
      <c r="T137" s="516">
        <v>1118.06</v>
      </c>
      <c r="U137" s="590">
        <v>1.9753841369579548E-4</v>
      </c>
    </row>
    <row r="138" spans="1:21" x14ac:dyDescent="0.25">
      <c r="B138" s="55" t="str">
        <f>Fluxo_de_Caixa_Janeiro[[#This Row],[Fluxo de Caixa 2026 CTR]]</f>
        <v>3.3.07. Locação Equipamento Informatica</v>
      </c>
      <c r="C138" s="35">
        <f>Fluxo_de_Caixa_Janeiro[[#This Row],[Janeiro]]</f>
        <v>0</v>
      </c>
      <c r="D138" s="62">
        <f>Fluxo_de_Caixa_Janeiro3[[#This Row],[Fevereiro]]</f>
        <v>0</v>
      </c>
      <c r="E138" s="62">
        <f>Fluxo_de_Caixa_Janeiro34[[#This Row],[Março]]</f>
        <v>0</v>
      </c>
      <c r="F138" s="62">
        <f>Fluxo_de_Caixa_Janeiro345[[#This Row],[ABRIL]]</f>
        <v>0</v>
      </c>
      <c r="G138" s="62">
        <f>Fluxo_de_Caixa_Janeiro3459[[#This Row],[MAIO]]</f>
        <v>0</v>
      </c>
      <c r="H138" s="62">
        <f>Fluxo_de_Caixa_Janeiro345911[[#This Row],[JUNHO]]</f>
        <v>0</v>
      </c>
      <c r="I138" s="35"/>
      <c r="J138" s="62"/>
      <c r="K138" s="62"/>
      <c r="L138" s="62"/>
      <c r="M138" s="62"/>
      <c r="N138" s="119"/>
      <c r="O138" s="224">
        <f>SUM(Fluxo_de_Caixa_Janeiro310208[[#This Row],[Janeiro]:[Dezembro]])</f>
        <v>0</v>
      </c>
      <c r="P138" s="194">
        <f t="shared" si="8"/>
        <v>0</v>
      </c>
      <c r="Q138" s="75">
        <v>0</v>
      </c>
      <c r="R138" s="32" t="str">
        <f>IF(Fluxo_de_Caixa_Janeiro310208[[#This Row],[% ACUMULADO  1º SEMEST 2026]]&lt;=Fluxo_de_Caixa_Janeiro310208[[#This Row],[% ACUMULADO  1º SEMEST 2025]],"VERDADEIRO","FALSO")</f>
        <v>VERDADEIRO</v>
      </c>
      <c r="T138" s="516">
        <v>0</v>
      </c>
      <c r="U138" s="590">
        <v>0</v>
      </c>
    </row>
    <row r="139" spans="1:21" x14ac:dyDescent="0.25">
      <c r="B139" s="55" t="str">
        <f>Fluxo_de_Caixa_Janeiro[[#This Row],[Fluxo de Caixa 2026 CTR]]</f>
        <v>3.3.08. Transmissão de Dados Servidor</v>
      </c>
      <c r="C139" s="35">
        <f>Fluxo_de_Caixa_Janeiro[[#This Row],[Janeiro]]</f>
        <v>0</v>
      </c>
      <c r="D139" s="62">
        <f>Fluxo_de_Caixa_Janeiro3[[#This Row],[Fevereiro]]</f>
        <v>0</v>
      </c>
      <c r="E139" s="62">
        <f>Fluxo_de_Caixa_Janeiro34[[#This Row],[Março]]</f>
        <v>0</v>
      </c>
      <c r="F139" s="62">
        <f>Fluxo_de_Caixa_Janeiro345[[#This Row],[ABRIL]]</f>
        <v>0</v>
      </c>
      <c r="G139" s="62">
        <f>Fluxo_de_Caixa_Janeiro3459[[#This Row],[MAIO]]</f>
        <v>0</v>
      </c>
      <c r="H139" s="62">
        <f>Fluxo_de_Caixa_Janeiro345911[[#This Row],[JUNHO]]</f>
        <v>0</v>
      </c>
      <c r="I139" s="35"/>
      <c r="J139" s="62"/>
      <c r="K139" s="62"/>
      <c r="L139" s="62"/>
      <c r="M139" s="62"/>
      <c r="N139" s="119"/>
      <c r="O139" s="224">
        <f>SUM(Fluxo_de_Caixa_Janeiro310208[[#This Row],[Janeiro]:[Dezembro]])</f>
        <v>0</v>
      </c>
      <c r="P139" s="194">
        <f t="shared" si="8"/>
        <v>0</v>
      </c>
      <c r="Q139" s="75">
        <v>0</v>
      </c>
      <c r="R139" s="32" t="str">
        <f>IF(Fluxo_de_Caixa_Janeiro310208[[#This Row],[% ACUMULADO  1º SEMEST 2026]]&lt;=Fluxo_de_Caixa_Janeiro310208[[#This Row],[% ACUMULADO  1º SEMEST 2025]],"VERDADEIRO","FALSO")</f>
        <v>VERDADEIRO</v>
      </c>
      <c r="T139" s="516">
        <v>0</v>
      </c>
      <c r="U139" s="590">
        <v>0</v>
      </c>
    </row>
    <row r="140" spans="1:21" ht="15.75" thickBot="1" x14ac:dyDescent="0.3">
      <c r="B140" s="55" t="str">
        <f>Fluxo_de_Caixa_Janeiro[[#This Row],[Fluxo de Caixa 2026 CTR]]</f>
        <v>3.3.09. Viagens e Estadias - CPD</v>
      </c>
      <c r="C140" s="35">
        <f>Fluxo_de_Caixa_Janeiro[[#This Row],[Janeiro]]</f>
        <v>0</v>
      </c>
      <c r="D140" s="62">
        <f>Fluxo_de_Caixa_Janeiro3[[#This Row],[Fevereiro]]</f>
        <v>0</v>
      </c>
      <c r="E140" s="62">
        <f>Fluxo_de_Caixa_Janeiro34[[#This Row],[Março]]</f>
        <v>0</v>
      </c>
      <c r="F140" s="62">
        <f>Fluxo_de_Caixa_Janeiro345[[#This Row],[ABRIL]]</f>
        <v>0</v>
      </c>
      <c r="G140" s="62">
        <f>Fluxo_de_Caixa_Janeiro3459[[#This Row],[MAIO]]</f>
        <v>0</v>
      </c>
      <c r="H140" s="62">
        <f>Fluxo_de_Caixa_Janeiro345911[[#This Row],[JUNHO]]</f>
        <v>0</v>
      </c>
      <c r="I140" s="35"/>
      <c r="J140" s="62"/>
      <c r="K140" s="62"/>
      <c r="L140" s="62"/>
      <c r="M140" s="62"/>
      <c r="N140" s="119"/>
      <c r="O140" s="224">
        <f>SUM(Fluxo_de_Caixa_Janeiro310208[[#This Row],[Janeiro]:[Dezembro]])</f>
        <v>0</v>
      </c>
      <c r="P140" s="194">
        <f t="shared" si="8"/>
        <v>0</v>
      </c>
      <c r="Q140" s="75">
        <v>0</v>
      </c>
      <c r="R140" s="32" t="str">
        <f>IF(Fluxo_de_Caixa_Janeiro310208[[#This Row],[% ACUMULADO  1º SEMEST 2026]]&lt;=Fluxo_de_Caixa_Janeiro310208[[#This Row],[% ACUMULADO  1º SEMEST 2025]],"VERDADEIRO","FALSO")</f>
        <v>VERDADEIRO</v>
      </c>
      <c r="T140" s="516">
        <v>0</v>
      </c>
      <c r="U140" s="590">
        <v>0</v>
      </c>
    </row>
    <row r="141" spans="1:21" hidden="1" x14ac:dyDescent="0.25">
      <c r="B141" s="55">
        <f>Fluxo_de_Caixa_Janeiro[[#This Row],[Fluxo de Caixa 2026 CTR]]</f>
        <v>0</v>
      </c>
      <c r="C141" s="35">
        <f>Fluxo_de_Caixa_Janeiro[[#This Row],[Janeiro]]</f>
        <v>0</v>
      </c>
      <c r="D141" s="62">
        <f>Fluxo_de_Caixa_Janeiro3[[#This Row],[Fevereiro]]</f>
        <v>0</v>
      </c>
      <c r="E141" s="62">
        <f>Fluxo_de_Caixa_Janeiro34[[#This Row],[Março]]</f>
        <v>0</v>
      </c>
      <c r="F141" s="62">
        <f>Fluxo_de_Caixa_Janeiro345[[#This Row],[ABRIL]]</f>
        <v>0</v>
      </c>
      <c r="G141" s="62">
        <f>Fluxo_de_Caixa_Janeiro3459[[#This Row],[MAIO]]</f>
        <v>0</v>
      </c>
      <c r="H141" s="62">
        <f>Fluxo_de_Caixa_Janeiro345911[[#This Row],[JUNHO]]</f>
        <v>0</v>
      </c>
      <c r="I141" s="35"/>
      <c r="J141" s="62"/>
      <c r="K141" s="62"/>
      <c r="L141" s="62"/>
      <c r="M141" s="62"/>
      <c r="N141" s="119"/>
      <c r="O141" s="224">
        <f>SUM(Fluxo_de_Caixa_Janeiro310208[[#This Row],[Janeiro]:[Dezembro]])</f>
        <v>0</v>
      </c>
      <c r="P141" s="194">
        <f t="shared" si="8"/>
        <v>0</v>
      </c>
      <c r="Q141" s="75">
        <v>0</v>
      </c>
      <c r="R141" s="32" t="str">
        <f>IF(Fluxo_de_Caixa_Janeiro310208[[#This Row],[% ACUMULADO  1º SEMEST 2026]]&lt;=Fluxo_de_Caixa_Janeiro310208[[#This Row],[% ACUMULADO  1º SEMEST 2025]],"VERDADEIRO","FALSO")</f>
        <v>VERDADEIRO</v>
      </c>
      <c r="T141" s="516">
        <v>0</v>
      </c>
      <c r="U141" s="590">
        <v>0</v>
      </c>
    </row>
    <row r="142" spans="1:21" hidden="1" x14ac:dyDescent="0.25">
      <c r="B142" s="55">
        <f>Fluxo_de_Caixa_Janeiro[[#This Row],[Fluxo de Caixa 2026 CTR]]</f>
        <v>0</v>
      </c>
      <c r="C142" s="35">
        <f>Fluxo_de_Caixa_Janeiro[[#This Row],[Janeiro]]</f>
        <v>0</v>
      </c>
      <c r="D142" s="62">
        <f>Fluxo_de_Caixa_Janeiro3[[#This Row],[Fevereiro]]</f>
        <v>0</v>
      </c>
      <c r="E142" s="62">
        <f>Fluxo_de_Caixa_Janeiro34[[#This Row],[Março]]</f>
        <v>0</v>
      </c>
      <c r="F142" s="62">
        <f>Fluxo_de_Caixa_Janeiro345[[#This Row],[ABRIL]]</f>
        <v>0</v>
      </c>
      <c r="G142" s="62">
        <f>Fluxo_de_Caixa_Janeiro3459[[#This Row],[MAIO]]</f>
        <v>0</v>
      </c>
      <c r="H142" s="62">
        <f>Fluxo_de_Caixa_Janeiro345911[[#This Row],[JUNHO]]</f>
        <v>0</v>
      </c>
      <c r="I142" s="35"/>
      <c r="J142" s="62"/>
      <c r="K142" s="62"/>
      <c r="L142" s="62"/>
      <c r="M142" s="62"/>
      <c r="N142" s="119"/>
      <c r="O142" s="224">
        <f>SUM(Fluxo_de_Caixa_Janeiro310208[[#This Row],[Janeiro]:[Dezembro]])</f>
        <v>0</v>
      </c>
      <c r="P142" s="194">
        <f t="shared" si="8"/>
        <v>0</v>
      </c>
      <c r="Q142" s="75">
        <v>0</v>
      </c>
      <c r="R142" s="32" t="str">
        <f>IF(Fluxo_de_Caixa_Janeiro310208[[#This Row],[% ACUMULADO  1º SEMEST 2026]]&lt;=Fluxo_de_Caixa_Janeiro310208[[#This Row],[% ACUMULADO  1º SEMEST 2025]],"VERDADEIRO","FALSO")</f>
        <v>VERDADEIRO</v>
      </c>
      <c r="T142" s="516">
        <v>0</v>
      </c>
      <c r="U142" s="590">
        <v>0</v>
      </c>
    </row>
    <row r="143" spans="1:21" hidden="1" x14ac:dyDescent="0.25">
      <c r="B143" s="55">
        <f>Fluxo_de_Caixa_Janeiro[[#This Row],[Fluxo de Caixa 2026 CTR]]</f>
        <v>0</v>
      </c>
      <c r="C143" s="35">
        <f>Fluxo_de_Caixa_Janeiro[[#This Row],[Janeiro]]</f>
        <v>0</v>
      </c>
      <c r="D143" s="62">
        <f>Fluxo_de_Caixa_Janeiro3[[#This Row],[Fevereiro]]</f>
        <v>0</v>
      </c>
      <c r="E143" s="62">
        <f>Fluxo_de_Caixa_Janeiro34[[#This Row],[Março]]</f>
        <v>0</v>
      </c>
      <c r="F143" s="62">
        <f>Fluxo_de_Caixa_Janeiro345[[#This Row],[ABRIL]]</f>
        <v>0</v>
      </c>
      <c r="G143" s="62">
        <f>Fluxo_de_Caixa_Janeiro3459[[#This Row],[MAIO]]</f>
        <v>0</v>
      </c>
      <c r="H143" s="62">
        <f>Fluxo_de_Caixa_Janeiro345911[[#This Row],[JUNHO]]</f>
        <v>0</v>
      </c>
      <c r="I143" s="35"/>
      <c r="J143" s="62"/>
      <c r="K143" s="62"/>
      <c r="L143" s="62"/>
      <c r="M143" s="62"/>
      <c r="N143" s="119"/>
      <c r="O143" s="224">
        <f>SUM(Fluxo_de_Caixa_Janeiro310208[[#This Row],[Janeiro]:[Dezembro]])</f>
        <v>0</v>
      </c>
      <c r="P143" s="194">
        <f t="shared" si="8"/>
        <v>0</v>
      </c>
      <c r="Q143" s="75">
        <v>0</v>
      </c>
      <c r="R143" s="32" t="str">
        <f>IF(Fluxo_de_Caixa_Janeiro310208[[#This Row],[% ACUMULADO  1º SEMEST 2026]]&lt;=Fluxo_de_Caixa_Janeiro310208[[#This Row],[% ACUMULADO  1º SEMEST 2025]],"VERDADEIRO","FALSO")</f>
        <v>VERDADEIRO</v>
      </c>
      <c r="T143" s="516">
        <v>0</v>
      </c>
      <c r="U143" s="590">
        <v>0</v>
      </c>
    </row>
    <row r="144" spans="1:21" ht="15.75" hidden="1" thickBot="1" x14ac:dyDescent="0.3">
      <c r="B144" s="55">
        <f>Fluxo_de_Caixa_Janeiro[[#This Row],[Fluxo de Caixa 2026 CTR]]</f>
        <v>0</v>
      </c>
      <c r="C144" s="35">
        <f>Fluxo_de_Caixa_Janeiro[[#This Row],[Janeiro]]</f>
        <v>0</v>
      </c>
      <c r="D144" s="62">
        <f>Fluxo_de_Caixa_Janeiro3[[#This Row],[Fevereiro]]</f>
        <v>0</v>
      </c>
      <c r="E144" s="62">
        <f>Fluxo_de_Caixa_Janeiro34[[#This Row],[Março]]</f>
        <v>0</v>
      </c>
      <c r="F144" s="62">
        <f>Fluxo_de_Caixa_Janeiro345[[#This Row],[ABRIL]]</f>
        <v>0</v>
      </c>
      <c r="G144" s="62">
        <f>Fluxo_de_Caixa_Janeiro3459[[#This Row],[MAIO]]</f>
        <v>0</v>
      </c>
      <c r="H144" s="62">
        <f>Fluxo_de_Caixa_Janeiro345911[[#This Row],[JUNHO]]</f>
        <v>0</v>
      </c>
      <c r="I144" s="35"/>
      <c r="J144" s="62"/>
      <c r="K144" s="62"/>
      <c r="L144" s="62"/>
      <c r="M144" s="62"/>
      <c r="N144" s="119"/>
      <c r="O144" s="224">
        <f>SUM(Fluxo_de_Caixa_Janeiro310208[[#This Row],[Janeiro]:[Dezembro]])</f>
        <v>0</v>
      </c>
      <c r="P144" s="194">
        <f t="shared" si="8"/>
        <v>0</v>
      </c>
      <c r="Q144" s="75">
        <v>0</v>
      </c>
      <c r="R144" s="32" t="str">
        <f>IF(Fluxo_de_Caixa_Janeiro310208[[#This Row],[% ACUMULADO  1º SEMEST 2026]]&lt;=Fluxo_de_Caixa_Janeiro310208[[#This Row],[% ACUMULADO  1º SEMEST 2025]],"VERDADEIRO","FALSO")</f>
        <v>VERDADEIRO</v>
      </c>
      <c r="T144" s="516">
        <v>0</v>
      </c>
      <c r="U144" s="590">
        <v>0</v>
      </c>
    </row>
    <row r="145" spans="2:21" ht="19.5" thickBot="1" x14ac:dyDescent="0.35">
      <c r="B145" s="277" t="str">
        <f>Fluxo_de_Caixa_Janeiro[[#This Row],[Fluxo de Caixa 2026 CTR]]</f>
        <v>3.4. ADMINISTRATIVAS</v>
      </c>
      <c r="C145" s="158">
        <f>Fluxo_de_Caixa_Janeiro[[#This Row],[Janeiro]]</f>
        <v>-34177.839999999997</v>
      </c>
      <c r="D145" s="97">
        <f>Fluxo_de_Caixa_Janeiro3[[#This Row],[Fevereiro]]</f>
        <v>-38145.9</v>
      </c>
      <c r="E145" s="97">
        <f>Fluxo_de_Caixa_Janeiro34[[#This Row],[Março]]</f>
        <v>-38590.86</v>
      </c>
      <c r="F145" s="97">
        <f>Fluxo_de_Caixa_Janeiro345[[#This Row],[ABRIL]]</f>
        <v>-29145.360000000001</v>
      </c>
      <c r="G145" s="97">
        <f>Fluxo_de_Caixa_Janeiro3459[[#This Row],[MAIO]]</f>
        <v>-11354.189999999999</v>
      </c>
      <c r="H145" s="97">
        <f>Fluxo_de_Caixa_Janeiro345911[[#This Row],[JUNHO]]</f>
        <v>0</v>
      </c>
      <c r="I145" s="158"/>
      <c r="J145" s="97"/>
      <c r="K145" s="97"/>
      <c r="L145" s="97"/>
      <c r="M145" s="97"/>
      <c r="N145" s="129"/>
      <c r="O145" s="226">
        <f>SUM(Fluxo_de_Caixa_Janeiro310208[[#This Row],[Janeiro]:[Dezembro]])</f>
        <v>-151414.15</v>
      </c>
      <c r="P145" s="144">
        <f>-IFERROR(O145/$O$27,"0,00")</f>
        <v>3.2671478517129163E-2</v>
      </c>
      <c r="Q145" s="98">
        <v>4.4189825125747345E-2</v>
      </c>
      <c r="R145" s="32" t="str">
        <f>IF(Fluxo_de_Caixa_Janeiro310208[[#This Row],[% ACUMULADO  1º SEMEST 2026]]&lt;=Fluxo_de_Caixa_Janeiro310208[[#This Row],[% ACUMULADO  1º SEMEST 2025]],"VERDADEIRO","FALSO")</f>
        <v>VERDADEIRO</v>
      </c>
      <c r="S145" s="287"/>
      <c r="T145" s="518">
        <v>-250112.75000000003</v>
      </c>
      <c r="U145" s="592">
        <v>4.4189825125747345E-2</v>
      </c>
    </row>
    <row r="146" spans="2:21" x14ac:dyDescent="0.25">
      <c r="B146" s="55" t="str">
        <f>Fluxo_de_Caixa_Janeiro[[#This Row],[Fluxo de Caixa 2026 CTR]]</f>
        <v>3.4.01. Supermercado/Padaria/Farmácia</v>
      </c>
      <c r="C146" s="35">
        <f>Fluxo_de_Caixa_Janeiro[[#This Row],[Janeiro]]</f>
        <v>1344.42</v>
      </c>
      <c r="D146" s="62">
        <f>Fluxo_de_Caixa_Janeiro3[[#This Row],[Fevereiro]]</f>
        <v>1995.03</v>
      </c>
      <c r="E146" s="62">
        <f>Fluxo_de_Caixa_Janeiro34[[#This Row],[Março]]</f>
        <v>2834.3500000000004</v>
      </c>
      <c r="F146" s="62">
        <f>Fluxo_de_Caixa_Janeiro345[[#This Row],[ABRIL]]</f>
        <v>1427.26</v>
      </c>
      <c r="G146" s="62">
        <f>Fluxo_de_Caixa_Janeiro3459[[#This Row],[MAIO]]</f>
        <v>2175.3900000000003</v>
      </c>
      <c r="H146" s="62">
        <f>Fluxo_de_Caixa_Janeiro345911[[#This Row],[JUNHO]]</f>
        <v>0</v>
      </c>
      <c r="I146" s="35"/>
      <c r="J146" s="62"/>
      <c r="K146" s="62"/>
      <c r="L146" s="62"/>
      <c r="M146" s="62"/>
      <c r="N146" s="119"/>
      <c r="O146" s="224">
        <f>SUM(Fluxo_de_Caixa_Janeiro310208[[#This Row],[Janeiro]:[Dezembro]])</f>
        <v>9776.4500000000007</v>
      </c>
      <c r="P146" s="194">
        <f t="shared" ref="P146:P166" si="9">IFERROR(O146/$O$27,"0,00%")</f>
        <v>2.1095193292620766E-3</v>
      </c>
      <c r="Q146" s="75">
        <v>1.9141752500996723E-3</v>
      </c>
      <c r="R146" s="32" t="str">
        <f>IF(Fluxo_de_Caixa_Janeiro310208[[#This Row],[% ACUMULADO  1º SEMEST 2026]]&lt;=Fluxo_de_Caixa_Janeiro310208[[#This Row],[% ACUMULADO  1º SEMEST 2025]],"VERDADEIRO","FALSO")</f>
        <v>FALSO</v>
      </c>
      <c r="T146" s="516">
        <v>10834.16</v>
      </c>
      <c r="U146" s="590">
        <v>1.9141752500996723E-3</v>
      </c>
    </row>
    <row r="147" spans="2:21" x14ac:dyDescent="0.25">
      <c r="B147" s="55" t="str">
        <f>Fluxo_de_Caixa_Janeiro[[#This Row],[Fluxo de Caixa 2026 CTR]]</f>
        <v>3.4.02. Material Administrativo de Expediente</v>
      </c>
      <c r="C147" s="35">
        <f>Fluxo_de_Caixa_Janeiro[[#This Row],[Janeiro]]</f>
        <v>2000.05</v>
      </c>
      <c r="D147" s="62">
        <f>Fluxo_de_Caixa_Janeiro3[[#This Row],[Fevereiro]]</f>
        <v>499.11</v>
      </c>
      <c r="E147" s="62">
        <f>Fluxo_de_Caixa_Janeiro34[[#This Row],[Março]]</f>
        <v>1223.24</v>
      </c>
      <c r="F147" s="62">
        <f>Fluxo_de_Caixa_Janeiro345[[#This Row],[ABRIL]]</f>
        <v>1836.15</v>
      </c>
      <c r="G147" s="62">
        <f>Fluxo_de_Caixa_Janeiro3459[[#This Row],[MAIO]]</f>
        <v>412.99</v>
      </c>
      <c r="H147" s="62">
        <f>Fluxo_de_Caixa_Janeiro345911[[#This Row],[JUNHO]]</f>
        <v>0</v>
      </c>
      <c r="I147" s="35"/>
      <c r="J147" s="62"/>
      <c r="K147" s="62"/>
      <c r="L147" s="62"/>
      <c r="M147" s="62"/>
      <c r="N147" s="119"/>
      <c r="O147" s="224">
        <f>SUM(Fluxo_de_Caixa_Janeiro310208[[#This Row],[Janeiro]:[Dezembro]])</f>
        <v>5971.5399999999991</v>
      </c>
      <c r="P147" s="194">
        <f t="shared" si="9"/>
        <v>1.288512604827075E-3</v>
      </c>
      <c r="Q147" s="75">
        <v>8.6803049680313866E-4</v>
      </c>
      <c r="R147" s="32" t="str">
        <f>IF(Fluxo_de_Caixa_Janeiro310208[[#This Row],[% ACUMULADO  1º SEMEST 2026]]&lt;=Fluxo_de_Caixa_Janeiro310208[[#This Row],[% ACUMULADO  1º SEMEST 2025]],"VERDADEIRO","FALSO")</f>
        <v>FALSO</v>
      </c>
      <c r="T147" s="516">
        <v>4913.0200000000004</v>
      </c>
      <c r="U147" s="590">
        <v>8.6803049680313866E-4</v>
      </c>
    </row>
    <row r="148" spans="2:21" x14ac:dyDescent="0.25">
      <c r="B148" s="55" t="str">
        <f>Fluxo_de_Caixa_Janeiro[[#This Row],[Fluxo de Caixa 2026 CTR]]</f>
        <v>3.4.03. Correios/Gollog/Latam Cargas</v>
      </c>
      <c r="C148" s="35">
        <f>Fluxo_de_Caixa_Janeiro[[#This Row],[Janeiro]]</f>
        <v>0</v>
      </c>
      <c r="D148" s="62">
        <f>Fluxo_de_Caixa_Janeiro3[[#This Row],[Fevereiro]]</f>
        <v>0</v>
      </c>
      <c r="E148" s="62">
        <f>Fluxo_de_Caixa_Janeiro34[[#This Row],[Março]]</f>
        <v>0</v>
      </c>
      <c r="F148" s="62">
        <f>Fluxo_de_Caixa_Janeiro345[[#This Row],[ABRIL]]</f>
        <v>0</v>
      </c>
      <c r="G148" s="62">
        <f>Fluxo_de_Caixa_Janeiro3459[[#This Row],[MAIO]]</f>
        <v>0</v>
      </c>
      <c r="H148" s="62">
        <f>Fluxo_de_Caixa_Janeiro345911[[#This Row],[JUNHO]]</f>
        <v>0</v>
      </c>
      <c r="I148" s="35"/>
      <c r="J148" s="62"/>
      <c r="K148" s="62"/>
      <c r="L148" s="62"/>
      <c r="M148" s="62"/>
      <c r="N148" s="119"/>
      <c r="O148" s="224">
        <f>SUM(Fluxo_de_Caixa_Janeiro310208[[#This Row],[Janeiro]:[Dezembro]])</f>
        <v>0</v>
      </c>
      <c r="P148" s="194">
        <f t="shared" si="9"/>
        <v>0</v>
      </c>
      <c r="Q148" s="75">
        <v>1.2756268419258747E-3</v>
      </c>
      <c r="R148" s="32" t="str">
        <f>IF(Fluxo_de_Caixa_Janeiro310208[[#This Row],[% ACUMULADO  1º SEMEST 2026]]&lt;=Fluxo_de_Caixa_Janeiro310208[[#This Row],[% ACUMULADO  1º SEMEST 2025]],"VERDADEIRO","FALSO")</f>
        <v>VERDADEIRO</v>
      </c>
      <c r="T148" s="516">
        <v>7220</v>
      </c>
      <c r="U148" s="590">
        <v>1.2756268419258747E-3</v>
      </c>
    </row>
    <row r="149" spans="2:21" x14ac:dyDescent="0.25">
      <c r="B149" s="55" t="str">
        <f>Fluxo_de_Caixa_Janeiro[[#This Row],[Fluxo de Caixa 2026 CTR]]</f>
        <v>3.4.04. Cartório</v>
      </c>
      <c r="C149" s="35">
        <f>Fluxo_de_Caixa_Janeiro[[#This Row],[Janeiro]]</f>
        <v>0</v>
      </c>
      <c r="D149" s="62">
        <f>Fluxo_de_Caixa_Janeiro3[[#This Row],[Fevereiro]]</f>
        <v>0</v>
      </c>
      <c r="E149" s="62">
        <f>Fluxo_de_Caixa_Janeiro34[[#This Row],[Março]]</f>
        <v>2965.82</v>
      </c>
      <c r="F149" s="64">
        <f>Fluxo_de_Caixa_Janeiro345[[#This Row],[ABRIL]]</f>
        <v>0</v>
      </c>
      <c r="G149" s="62">
        <f>Fluxo_de_Caixa_Janeiro3459[[#This Row],[MAIO]]</f>
        <v>92.62</v>
      </c>
      <c r="H149" s="62">
        <f>Fluxo_de_Caixa_Janeiro345911[[#This Row],[JUNHO]]</f>
        <v>0</v>
      </c>
      <c r="I149" s="35"/>
      <c r="J149" s="62"/>
      <c r="K149" s="62"/>
      <c r="L149" s="62"/>
      <c r="M149" s="62"/>
      <c r="N149" s="119"/>
      <c r="O149" s="224">
        <f>SUM(Fluxo_de_Caixa_Janeiro310208[[#This Row],[Janeiro]:[Dezembro]])</f>
        <v>3058.44</v>
      </c>
      <c r="P149" s="194">
        <f t="shared" si="9"/>
        <v>6.5993671500271629E-4</v>
      </c>
      <c r="Q149" s="75">
        <v>2.0865862885241799E-5</v>
      </c>
      <c r="R149" s="32" t="str">
        <f>IF(Fluxo_de_Caixa_Janeiro310208[[#This Row],[% ACUMULADO  1º SEMEST 2026]]&lt;=Fluxo_de_Caixa_Janeiro310208[[#This Row],[% ACUMULADO  1º SEMEST 2025]],"VERDADEIRO","FALSO")</f>
        <v>FALSO</v>
      </c>
      <c r="S149" s="287"/>
      <c r="T149" s="516">
        <v>118.1</v>
      </c>
      <c r="U149" s="590">
        <v>2.0865862885241799E-5</v>
      </c>
    </row>
    <row r="150" spans="2:21" hidden="1" x14ac:dyDescent="0.25">
      <c r="B150" s="55">
        <f>Fluxo_de_Caixa_Janeiro[[#This Row],[Fluxo de Caixa 2026 CTR]]</f>
        <v>0</v>
      </c>
      <c r="C150" s="35">
        <f>Fluxo_de_Caixa_Janeiro[[#This Row],[Janeiro]]</f>
        <v>0</v>
      </c>
      <c r="D150" s="62">
        <f>Fluxo_de_Caixa_Janeiro3[[#This Row],[Fevereiro]]</f>
        <v>0</v>
      </c>
      <c r="E150" s="62">
        <f>Fluxo_de_Caixa_Janeiro34[[#This Row],[Março]]</f>
        <v>0</v>
      </c>
      <c r="F150" s="62">
        <f>Fluxo_de_Caixa_Janeiro345[[#This Row],[ABRIL]]</f>
        <v>441.4</v>
      </c>
      <c r="G150" s="62">
        <f>Fluxo_de_Caixa_Janeiro3459[[#This Row],[MAIO]]</f>
        <v>0</v>
      </c>
      <c r="H150" s="62">
        <f>Fluxo_de_Caixa_Janeiro345911[[#This Row],[JUNHO]]</f>
        <v>0</v>
      </c>
      <c r="I150" s="35"/>
      <c r="J150" s="62"/>
      <c r="K150" s="62"/>
      <c r="L150" s="62"/>
      <c r="M150" s="62"/>
      <c r="N150" s="119"/>
      <c r="O150" s="224">
        <f>SUM(Fluxo_de_Caixa_Janeiro310208[[#This Row],[Janeiro]:[Dezembro]])</f>
        <v>441.4</v>
      </c>
      <c r="P150" s="194">
        <f t="shared" si="9"/>
        <v>9.524334824361405E-5</v>
      </c>
      <c r="Q150" s="75">
        <v>0</v>
      </c>
      <c r="R150" s="32" t="str">
        <f>IF(Fluxo_de_Caixa_Janeiro310208[[#This Row],[% ACUMULADO  1º SEMEST 2026]]&lt;=Fluxo_de_Caixa_Janeiro310208[[#This Row],[% ACUMULADO  1º SEMEST 2025]],"VERDADEIRO","FALSO")</f>
        <v>FALSO</v>
      </c>
      <c r="T150" s="516">
        <v>0</v>
      </c>
      <c r="U150" s="590">
        <v>0</v>
      </c>
    </row>
    <row r="151" spans="2:21" x14ac:dyDescent="0.25">
      <c r="B151" s="55" t="str">
        <f>Fluxo_de_Caixa_Janeiro[[#This Row],[Fluxo de Caixa 2026 CTR]]</f>
        <v>3.4.06. Manutenção/ reforma/ reparos</v>
      </c>
      <c r="C151" s="35">
        <f>Fluxo_de_Caixa_Janeiro[[#This Row],[Janeiro]]</f>
        <v>0</v>
      </c>
      <c r="D151" s="62">
        <f>Fluxo_de_Caixa_Janeiro3[[#This Row],[Fevereiro]]</f>
        <v>2453.31</v>
      </c>
      <c r="E151" s="62">
        <f>Fluxo_de_Caixa_Janeiro34[[#This Row],[Março]]</f>
        <v>936.04</v>
      </c>
      <c r="F151" s="407">
        <f>Fluxo_de_Caixa_Janeiro345[[#This Row],[ABRIL]]</f>
        <v>738.8</v>
      </c>
      <c r="G151" s="407">
        <f>Fluxo_de_Caixa_Janeiro3459[[#This Row],[MAIO]]</f>
        <v>4490</v>
      </c>
      <c r="H151" s="62">
        <f>Fluxo_de_Caixa_Janeiro345911[[#This Row],[JUNHO]]</f>
        <v>0</v>
      </c>
      <c r="I151" s="35"/>
      <c r="J151" s="62"/>
      <c r="K151" s="62"/>
      <c r="L151" s="62"/>
      <c r="M151" s="62"/>
      <c r="N151" s="119"/>
      <c r="O151" s="224">
        <f>SUM(Fluxo_de_Caixa_Janeiro310208[[#This Row],[Janeiro]:[Dezembro]])</f>
        <v>8618.15</v>
      </c>
      <c r="P151" s="194">
        <f t="shared" si="9"/>
        <v>1.8595864559712333E-3</v>
      </c>
      <c r="Q151" s="75">
        <v>3.2579244523359844E-3</v>
      </c>
      <c r="R151" s="32" t="str">
        <f>IF(Fluxo_de_Caixa_Janeiro310208[[#This Row],[% ACUMULADO  1º SEMEST 2026]]&lt;=Fluxo_de_Caixa_Janeiro310208[[#This Row],[% ACUMULADO  1º SEMEST 2025]],"VERDADEIRO","FALSO")</f>
        <v>VERDADEIRO</v>
      </c>
      <c r="T151" s="516">
        <v>18439.73</v>
      </c>
      <c r="U151" s="590">
        <v>3.2579244523359844E-3</v>
      </c>
    </row>
    <row r="152" spans="2:21" x14ac:dyDescent="0.25">
      <c r="B152" s="55" t="str">
        <f>Fluxo_de_Caixa_Janeiro[[#This Row],[Fluxo de Caixa 2026 CTR]]</f>
        <v>3.4.07. Diária de Prestador de Serviço</v>
      </c>
      <c r="C152" s="35">
        <f>Fluxo_de_Caixa_Janeiro[[#This Row],[Janeiro]]</f>
        <v>1450</v>
      </c>
      <c r="D152" s="62">
        <f>Fluxo_de_Caixa_Janeiro3[[#This Row],[Fevereiro]]</f>
        <v>2000</v>
      </c>
      <c r="E152" s="62">
        <f>Fluxo_de_Caixa_Janeiro34[[#This Row],[Março]]</f>
        <v>1470</v>
      </c>
      <c r="F152" s="407">
        <f>Fluxo_de_Caixa_Janeiro345[[#This Row],[ABRIL]]</f>
        <v>2465</v>
      </c>
      <c r="G152" s="407">
        <f>Fluxo_de_Caixa_Janeiro3459[[#This Row],[MAIO]]</f>
        <v>1500</v>
      </c>
      <c r="H152" s="62">
        <f>Fluxo_de_Caixa_Janeiro345911[[#This Row],[JUNHO]]</f>
        <v>0</v>
      </c>
      <c r="I152" s="35"/>
      <c r="J152" s="62"/>
      <c r="K152" s="62"/>
      <c r="L152" s="62"/>
      <c r="M152" s="62"/>
      <c r="N152" s="119"/>
      <c r="O152" s="224">
        <f>SUM(Fluxo_de_Caixa_Janeiro310208[[#This Row],[Janeiro]:[Dezembro]])</f>
        <v>8885</v>
      </c>
      <c r="P152" s="194">
        <f t="shared" si="9"/>
        <v>1.9171661738661323E-3</v>
      </c>
      <c r="Q152" s="75">
        <v>1.213788975627529E-3</v>
      </c>
      <c r="R152" s="32" t="str">
        <f>IF(Fluxo_de_Caixa_Janeiro310208[[#This Row],[% ACUMULADO  1º SEMEST 2026]]&lt;=Fluxo_de_Caixa_Janeiro310208[[#This Row],[% ACUMULADO  1º SEMEST 2025]],"VERDADEIRO","FALSO")</f>
        <v>FALSO</v>
      </c>
      <c r="T152" s="516">
        <v>6870</v>
      </c>
      <c r="U152" s="590">
        <v>1.213788975627529E-3</v>
      </c>
    </row>
    <row r="153" spans="2:21" x14ac:dyDescent="0.25">
      <c r="B153" s="169" t="str">
        <f>Fluxo_de_Caixa_Janeiro[[#This Row],[Fluxo de Caixa 2026 CTR]]</f>
        <v>3.4.08. Consultoria (RH/Empresarial/Contábil/Etc)</v>
      </c>
      <c r="C153" s="41">
        <f>Fluxo_de_Caixa_Janeiro[[#This Row],[Janeiro]]</f>
        <v>245</v>
      </c>
      <c r="D153" s="81">
        <f>Fluxo_de_Caixa_Janeiro3[[#This Row],[Fevereiro]]</f>
        <v>0</v>
      </c>
      <c r="E153" s="81">
        <f>Fluxo_de_Caixa_Janeiro34[[#This Row],[Março]]</f>
        <v>3192</v>
      </c>
      <c r="F153" s="81">
        <f>Fluxo_de_Caixa_Janeiro345[[#This Row],[ABRIL]]</f>
        <v>2600</v>
      </c>
      <c r="G153" s="81">
        <f>Fluxo_de_Caixa_Janeiro3459[[#This Row],[MAIO]]</f>
        <v>1250</v>
      </c>
      <c r="H153" s="81">
        <f>Fluxo_de_Caixa_Janeiro345911[[#This Row],[JUNHO]]</f>
        <v>0</v>
      </c>
      <c r="I153" s="41"/>
      <c r="J153" s="81"/>
      <c r="K153" s="81"/>
      <c r="L153" s="81"/>
      <c r="M153" s="81"/>
      <c r="N153" s="118"/>
      <c r="O153" s="223">
        <f>SUM(Fluxo_de_Caixa_Janeiro310208[[#This Row],[Janeiro]:[Dezembro]])</f>
        <v>7287</v>
      </c>
      <c r="P153" s="193">
        <f t="shared" si="9"/>
        <v>1.572356770845527E-3</v>
      </c>
      <c r="Q153" s="93">
        <v>5.1148749409631673E-4</v>
      </c>
      <c r="R153" s="32" t="str">
        <f>IF(Fluxo_de_Caixa_Janeiro310208[[#This Row],[% ACUMULADO  1º SEMEST 2026]]&lt;=Fluxo_de_Caixa_Janeiro310208[[#This Row],[% ACUMULADO  1º SEMEST 2025]],"VERDADEIRO","FALSO")</f>
        <v>FALSO</v>
      </c>
      <c r="T153" s="515">
        <v>2895</v>
      </c>
      <c r="U153" s="589">
        <v>5.1148749409631673E-4</v>
      </c>
    </row>
    <row r="154" spans="2:21" x14ac:dyDescent="0.25">
      <c r="B154" s="55" t="str">
        <f>Fluxo_de_Caixa_Janeiro[[#This Row],[Fluxo de Caixa 2026 CTR]]</f>
        <v>3.4.09. Honorarios Advogado</v>
      </c>
      <c r="C154" s="35">
        <f>Fluxo_de_Caixa_Janeiro[[#This Row],[Janeiro]]</f>
        <v>0</v>
      </c>
      <c r="D154" s="62">
        <f>Fluxo_de_Caixa_Janeiro3[[#This Row],[Fevereiro]]</f>
        <v>6415.01</v>
      </c>
      <c r="E154" s="62">
        <f>Fluxo_de_Caixa_Janeiro34[[#This Row],[Março]]</f>
        <v>5642</v>
      </c>
      <c r="F154" s="62">
        <f>Fluxo_de_Caixa_Janeiro345[[#This Row],[ABRIL]]</f>
        <v>5642</v>
      </c>
      <c r="G154" s="62">
        <f>Fluxo_de_Caixa_Janeiro3459[[#This Row],[MAIO]]</f>
        <v>5642</v>
      </c>
      <c r="H154" s="62">
        <f>Fluxo_de_Caixa_Janeiro345911[[#This Row],[JUNHO]]</f>
        <v>0</v>
      </c>
      <c r="I154" s="35"/>
      <c r="J154" s="62"/>
      <c r="K154" s="62"/>
      <c r="L154" s="62"/>
      <c r="M154" s="62"/>
      <c r="N154" s="119"/>
      <c r="O154" s="224">
        <f>SUM(Fluxo_de_Caixa_Janeiro310208[[#This Row],[Janeiro]:[Dezembro]])</f>
        <v>23341.010000000002</v>
      </c>
      <c r="P154" s="194">
        <f t="shared" si="9"/>
        <v>5.0364203529399141E-3</v>
      </c>
      <c r="Q154" s="75">
        <v>0</v>
      </c>
      <c r="R154" s="32" t="str">
        <f>IF(Fluxo_de_Caixa_Janeiro310208[[#This Row],[% ACUMULADO  1º SEMEST 2026]]&lt;=Fluxo_de_Caixa_Janeiro310208[[#This Row],[% ACUMULADO  1º SEMEST 2025]],"VERDADEIRO","FALSO")</f>
        <v>FALSO</v>
      </c>
      <c r="S154" s="287"/>
      <c r="T154" s="516">
        <v>0</v>
      </c>
      <c r="U154" s="590">
        <v>0</v>
      </c>
    </row>
    <row r="155" spans="2:21" x14ac:dyDescent="0.25">
      <c r="B155" s="55" t="str">
        <f>Fluxo_de_Caixa_Janeiro[[#This Row],[Fluxo de Caixa 2026 CTR]]</f>
        <v>3.4.10. Taxas Administrativas (Alvará de Funcio, taxas)</v>
      </c>
      <c r="C155" s="35">
        <f>Fluxo_de_Caixa_Janeiro[[#This Row],[Janeiro]]</f>
        <v>1618.05</v>
      </c>
      <c r="D155" s="62">
        <f>Fluxo_de_Caixa_Janeiro3[[#This Row],[Fevereiro]]</f>
        <v>0</v>
      </c>
      <c r="E155" s="62">
        <f>Fluxo_de_Caixa_Janeiro34[[#This Row],[Março]]</f>
        <v>734</v>
      </c>
      <c r="F155" s="62">
        <f>Fluxo_de_Caixa_Janeiro345[[#This Row],[ABRIL]]</f>
        <v>88.64</v>
      </c>
      <c r="G155" s="62">
        <f>Fluxo_de_Caixa_Janeiro3459[[#This Row],[MAIO]]</f>
        <v>1974.21</v>
      </c>
      <c r="H155" s="62">
        <f>Fluxo_de_Caixa_Janeiro345911[[#This Row],[JUNHO]]</f>
        <v>0</v>
      </c>
      <c r="I155" s="35"/>
      <c r="J155" s="62"/>
      <c r="K155" s="62"/>
      <c r="L155" s="62"/>
      <c r="M155" s="62"/>
      <c r="N155" s="119"/>
      <c r="O155" s="224">
        <f>SUM(Fluxo_de_Caixa_Janeiro310208[[#This Row],[Janeiro]:[Dezembro]])</f>
        <v>4414.8999999999996</v>
      </c>
      <c r="P155" s="194">
        <f t="shared" si="9"/>
        <v>9.5262768047288545E-4</v>
      </c>
      <c r="Q155" s="75">
        <v>9.5919894648487981E-4</v>
      </c>
      <c r="R155" s="32" t="str">
        <f>IF(Fluxo_de_Caixa_Janeiro310208[[#This Row],[% ACUMULADO  1º SEMEST 2026]]&lt;=Fluxo_de_Caixa_Janeiro310208[[#This Row],[% ACUMULADO  1º SEMEST 2025]],"VERDADEIRO","FALSO")</f>
        <v>VERDADEIRO</v>
      </c>
      <c r="T155" s="516">
        <v>5429.0300000000007</v>
      </c>
      <c r="U155" s="590">
        <v>9.5919894648487981E-4</v>
      </c>
    </row>
    <row r="156" spans="2:21" x14ac:dyDescent="0.25">
      <c r="B156" s="55" t="str">
        <f>Fluxo_de_Caixa_Janeiro[[#This Row],[Fluxo de Caixa 2026 CTR]]</f>
        <v>3.4.11. Despesa com Processos Judiciais</v>
      </c>
      <c r="C156" s="35">
        <f>Fluxo_de_Caixa_Janeiro[[#This Row],[Janeiro]]</f>
        <v>0</v>
      </c>
      <c r="D156" s="62">
        <f>Fluxo_de_Caixa_Janeiro3[[#This Row],[Fevereiro]]</f>
        <v>0</v>
      </c>
      <c r="E156" s="62">
        <f>Fluxo_de_Caixa_Janeiro34[[#This Row],[Março]]</f>
        <v>0</v>
      </c>
      <c r="F156" s="62">
        <f>Fluxo_de_Caixa_Janeiro345[[#This Row],[ABRIL]]</f>
        <v>0</v>
      </c>
      <c r="G156" s="62">
        <f>Fluxo_de_Caixa_Janeiro3459[[#This Row],[MAIO]]</f>
        <v>155.38999999999999</v>
      </c>
      <c r="H156" s="62">
        <f>Fluxo_de_Caixa_Janeiro345911[[#This Row],[JUNHO]]</f>
        <v>0</v>
      </c>
      <c r="I156" s="35"/>
      <c r="J156" s="62"/>
      <c r="K156" s="62"/>
      <c r="L156" s="62"/>
      <c r="M156" s="62"/>
      <c r="N156" s="119"/>
      <c r="O156" s="224">
        <f>SUM(Fluxo_de_Caixa_Janeiro310208[[#This Row],[Janeiro]:[Dezembro]])</f>
        <v>155.38999999999999</v>
      </c>
      <c r="P156" s="194">
        <f t="shared" si="9"/>
        <v>3.3529369922009939E-5</v>
      </c>
      <c r="Q156" s="75">
        <v>0</v>
      </c>
      <c r="R156" s="32" t="str">
        <f>IF(Fluxo_de_Caixa_Janeiro310208[[#This Row],[% ACUMULADO  1º SEMEST 2026]]&lt;=Fluxo_de_Caixa_Janeiro310208[[#This Row],[% ACUMULADO  1º SEMEST 2025]],"VERDADEIRO","FALSO")</f>
        <v>FALSO</v>
      </c>
      <c r="T156" s="516">
        <v>0</v>
      </c>
      <c r="U156" s="590">
        <v>0</v>
      </c>
    </row>
    <row r="157" spans="2:21" x14ac:dyDescent="0.25">
      <c r="B157" s="55" t="str">
        <f>Fluxo_de_Caixa_Janeiro[[#This Row],[Fluxo de Caixa 2026 CTR]]</f>
        <v xml:space="preserve">3.4.12. Equipe de Cobrança </v>
      </c>
      <c r="C157" s="35">
        <f>Fluxo_de_Caixa_Janeiro[[#This Row],[Janeiro]]</f>
        <v>0</v>
      </c>
      <c r="D157" s="62">
        <f>Fluxo_de_Caixa_Janeiro3[[#This Row],[Fevereiro]]</f>
        <v>0</v>
      </c>
      <c r="E157" s="62">
        <f>Fluxo_de_Caixa_Janeiro34[[#This Row],[Março]]</f>
        <v>0</v>
      </c>
      <c r="F157" s="62">
        <f>Fluxo_de_Caixa_Janeiro345[[#This Row],[ABRIL]]</f>
        <v>0</v>
      </c>
      <c r="G157" s="62">
        <f>Fluxo_de_Caixa_Janeiro3459[[#This Row],[MAIO]]</f>
        <v>0</v>
      </c>
      <c r="H157" s="62">
        <f>Fluxo_de_Caixa_Janeiro345911[[#This Row],[JUNHO]]</f>
        <v>0</v>
      </c>
      <c r="I157" s="35"/>
      <c r="J157" s="62"/>
      <c r="K157" s="62"/>
      <c r="L157" s="62"/>
      <c r="M157" s="62"/>
      <c r="N157" s="119"/>
      <c r="O157" s="224">
        <f>SUM(Fluxo_de_Caixa_Janeiro310208[[#This Row],[Janeiro]:[Dezembro]])</f>
        <v>0</v>
      </c>
      <c r="P157" s="194">
        <f t="shared" si="9"/>
        <v>0</v>
      </c>
      <c r="Q157" s="75">
        <v>0</v>
      </c>
      <c r="R157" s="32" t="str">
        <f>IF(Fluxo_de_Caixa_Janeiro310208[[#This Row],[% ACUMULADO  1º SEMEST 2026]]&lt;=Fluxo_de_Caixa_Janeiro310208[[#This Row],[% ACUMULADO  1º SEMEST 2025]],"VERDADEIRO","FALSO")</f>
        <v>VERDADEIRO</v>
      </c>
      <c r="T157" s="516">
        <v>0</v>
      </c>
      <c r="U157" s="590">
        <v>0</v>
      </c>
    </row>
    <row r="158" spans="2:21" x14ac:dyDescent="0.25">
      <c r="B158" s="55" t="str">
        <f>Fluxo_de_Caixa_Janeiro[[#This Row],[Fluxo de Caixa 2026 CTR]]</f>
        <v>3.4.13. Seguradora Predial / Equipamento</v>
      </c>
      <c r="C158" s="35">
        <f>Fluxo_de_Caixa_Janeiro[[#This Row],[Janeiro]]</f>
        <v>601</v>
      </c>
      <c r="D158" s="62">
        <f>Fluxo_de_Caixa_Janeiro3[[#This Row],[Fevereiro]]</f>
        <v>601</v>
      </c>
      <c r="E158" s="62">
        <f>Fluxo_de_Caixa_Janeiro34[[#This Row],[Março]]</f>
        <v>601</v>
      </c>
      <c r="F158" s="62">
        <f>Fluxo_de_Caixa_Janeiro345[[#This Row],[ABRIL]]</f>
        <v>601</v>
      </c>
      <c r="G158" s="62">
        <f>Fluxo_de_Caixa_Janeiro3459[[#This Row],[MAIO]]</f>
        <v>594.4</v>
      </c>
      <c r="H158" s="62">
        <f>Fluxo_de_Caixa_Janeiro345911[[#This Row],[JUNHO]]</f>
        <v>0</v>
      </c>
      <c r="I158" s="35"/>
      <c r="J158" s="62"/>
      <c r="K158" s="62"/>
      <c r="L158" s="62"/>
      <c r="M158" s="62"/>
      <c r="N158" s="119"/>
      <c r="O158" s="224">
        <f>SUM(Fluxo_de_Caixa_Janeiro310208[[#This Row],[Janeiro]:[Dezembro]])</f>
        <v>2998.4</v>
      </c>
      <c r="P158" s="194">
        <f t="shared" si="9"/>
        <v>6.4698154819585951E-4</v>
      </c>
      <c r="Q158" s="75">
        <v>0</v>
      </c>
      <c r="R158" s="32" t="str">
        <f>IF(Fluxo_de_Caixa_Janeiro310208[[#This Row],[% ACUMULADO  1º SEMEST 2026]]&lt;=Fluxo_de_Caixa_Janeiro310208[[#This Row],[% ACUMULADO  1º SEMEST 2025]],"VERDADEIRO","FALSO")</f>
        <v>FALSO</v>
      </c>
      <c r="T158" s="516">
        <v>0</v>
      </c>
      <c r="U158" s="590">
        <v>0</v>
      </c>
    </row>
    <row r="159" spans="2:21" x14ac:dyDescent="0.25">
      <c r="B159" s="55" t="str">
        <f>Fluxo_de_Caixa_Janeiro[[#This Row],[Fluxo de Caixa 2026 CTR]]</f>
        <v>3.4.14. Consulta de crédito SPC/Serasa</v>
      </c>
      <c r="C159" s="35">
        <f>Fluxo_de_Caixa_Janeiro[[#This Row],[Janeiro]]</f>
        <v>983.32</v>
      </c>
      <c r="D159" s="62">
        <f>Fluxo_de_Caixa_Janeiro3[[#This Row],[Fevereiro]]</f>
        <v>883.13</v>
      </c>
      <c r="E159" s="62">
        <f>Fluxo_de_Caixa_Janeiro34[[#This Row],[Março]]</f>
        <v>1161.4100000000001</v>
      </c>
      <c r="F159" s="62">
        <f>Fluxo_de_Caixa_Janeiro345[[#This Row],[ABRIL]]</f>
        <v>794.25</v>
      </c>
      <c r="G159" s="62">
        <f>Fluxo_de_Caixa_Janeiro3459[[#This Row],[MAIO]]</f>
        <v>794.25</v>
      </c>
      <c r="H159" s="62">
        <f>Fluxo_de_Caixa_Janeiro345911[[#This Row],[JUNHO]]</f>
        <v>0</v>
      </c>
      <c r="I159" s="35"/>
      <c r="J159" s="62"/>
      <c r="K159" s="62"/>
      <c r="L159" s="62"/>
      <c r="M159" s="62"/>
      <c r="N159" s="119"/>
      <c r="O159" s="224">
        <f>SUM(Fluxo_de_Caixa_Janeiro310208[[#This Row],[Janeiro]:[Dezembro]])</f>
        <v>4616.3600000000006</v>
      </c>
      <c r="P159" s="194">
        <f t="shared" si="9"/>
        <v>9.960978321202768E-4</v>
      </c>
      <c r="Q159" s="75">
        <v>5.3176678064981425E-4</v>
      </c>
      <c r="R159" s="32" t="str">
        <f>IF(Fluxo_de_Caixa_Janeiro310208[[#This Row],[% ACUMULADO  1º SEMEST 2026]]&lt;=Fluxo_de_Caixa_Janeiro310208[[#This Row],[% ACUMULADO  1º SEMEST 2025]],"VERDADEIRO","FALSO")</f>
        <v>FALSO</v>
      </c>
      <c r="T159" s="516">
        <v>3009.78</v>
      </c>
      <c r="U159" s="590">
        <v>5.3176678064981425E-4</v>
      </c>
    </row>
    <row r="160" spans="2:21" x14ac:dyDescent="0.25">
      <c r="B160" s="55" t="str">
        <f>Fluxo_de_Caixa_Janeiro[[#This Row],[Fluxo de Caixa 2026 CTR]]</f>
        <v>3.4.15. Frete Compra de Material Uso e Consumo</v>
      </c>
      <c r="C160" s="35">
        <f>Fluxo_de_Caixa_Janeiro[[#This Row],[Janeiro]]</f>
        <v>0</v>
      </c>
      <c r="D160" s="62">
        <f>Fluxo_de_Caixa_Janeiro3[[#This Row],[Fevereiro]]</f>
        <v>0</v>
      </c>
      <c r="E160" s="62">
        <f>Fluxo_de_Caixa_Janeiro34[[#This Row],[Março]]</f>
        <v>0</v>
      </c>
      <c r="F160" s="62">
        <f>Fluxo_de_Caixa_Janeiro345[[#This Row],[ABRIL]]</f>
        <v>0</v>
      </c>
      <c r="G160" s="62">
        <f>Fluxo_de_Caixa_Janeiro3459[[#This Row],[MAIO]]</f>
        <v>0</v>
      </c>
      <c r="H160" s="62">
        <f>Fluxo_de_Caixa_Janeiro345911[[#This Row],[JUNHO]]</f>
        <v>0</v>
      </c>
      <c r="I160" s="35"/>
      <c r="J160" s="62"/>
      <c r="K160" s="62"/>
      <c r="L160" s="62"/>
      <c r="M160" s="62"/>
      <c r="N160" s="397"/>
      <c r="O160" s="224">
        <f>SUM(Fluxo_de_Caixa_Janeiro310208[[#This Row],[Janeiro]:[Dezembro]])</f>
        <v>0</v>
      </c>
      <c r="P160" s="194">
        <f t="shared" si="9"/>
        <v>0</v>
      </c>
      <c r="Q160" s="75">
        <v>2.6501942699291024E-5</v>
      </c>
      <c r="R160" s="32" t="str">
        <f>IF(Fluxo_de_Caixa_Janeiro310208[[#This Row],[% ACUMULADO  1º SEMEST 2026]]&lt;=Fluxo_de_Caixa_Janeiro310208[[#This Row],[% ACUMULADO  1º SEMEST 2025]],"VERDADEIRO","FALSO")</f>
        <v>VERDADEIRO</v>
      </c>
      <c r="T160" s="516">
        <v>150</v>
      </c>
      <c r="U160" s="590">
        <v>2.6501942699291024E-5</v>
      </c>
    </row>
    <row r="161" spans="1:21" x14ac:dyDescent="0.25">
      <c r="B161" s="55" t="str">
        <f>Fluxo_de_Caixa_Janeiro[[#This Row],[Fluxo de Caixa 2026 CTR]]</f>
        <v xml:space="preserve">3.4.16. Pro labore </v>
      </c>
      <c r="C161" s="35">
        <f>Fluxo_de_Caixa_Janeiro[[#This Row],[Janeiro]]</f>
        <v>25936</v>
      </c>
      <c r="D161" s="62">
        <f>Fluxo_de_Caixa_Janeiro3[[#This Row],[Fevereiro]]</f>
        <v>23234.33</v>
      </c>
      <c r="E161" s="62">
        <f>Fluxo_de_Caixa_Janeiro34[[#This Row],[Março]]</f>
        <v>17831</v>
      </c>
      <c r="F161" s="407">
        <f>Fluxo_de_Caixa_Janeiro345[[#This Row],[ABRIL]]</f>
        <v>17831</v>
      </c>
      <c r="G161" s="407">
        <f>Fluxo_de_Caixa_Janeiro3459[[#This Row],[MAIO]]</f>
        <v>17831</v>
      </c>
      <c r="H161" s="407">
        <f>Fluxo_de_Caixa_Janeiro345911[[#This Row],[JUNHO]]</f>
        <v>0</v>
      </c>
      <c r="I161" s="35"/>
      <c r="J161" s="62"/>
      <c r="K161" s="62"/>
      <c r="L161" s="62"/>
      <c r="M161" s="62"/>
      <c r="N161" s="119"/>
      <c r="O161" s="224">
        <f>SUM(Fluxo_de_Caixa_Janeiro310208[[#This Row],[Janeiro]:[Dezembro]])</f>
        <v>102663.33</v>
      </c>
      <c r="P161" s="194">
        <f t="shared" si="9"/>
        <v>2.2152241257451449E-2</v>
      </c>
      <c r="Q161" s="75">
        <v>3.3383873539245379E-2</v>
      </c>
      <c r="R161" s="32" t="str">
        <f>IF(Fluxo_de_Caixa_Janeiro310208[[#This Row],[% ACUMULADO  1º SEMEST 2026]]&lt;=Fluxo_de_Caixa_Janeiro310208[[#This Row],[% ACUMULADO  1º SEMEST 2025]],"VERDADEIRO","FALSO")</f>
        <v>VERDADEIRO</v>
      </c>
      <c r="S161" s="287"/>
      <c r="T161" s="516">
        <v>188951.47</v>
      </c>
      <c r="U161" s="590">
        <v>3.3383873539245379E-2</v>
      </c>
    </row>
    <row r="162" spans="1:21" x14ac:dyDescent="0.25">
      <c r="B162" s="55" t="str">
        <f>Fluxo_de_Caixa_Janeiro[[#This Row],[Fluxo de Caixa 2026 CTR]]</f>
        <v>3.4.17. Multas Administrativas e trabalhistas</v>
      </c>
      <c r="C162" s="35">
        <f>Fluxo_de_Caixa_Janeiro[[#This Row],[Janeiro]]</f>
        <v>0</v>
      </c>
      <c r="D162" s="62">
        <f>Fluxo_de_Caixa_Janeiro3[[#This Row],[Fevereiro]]</f>
        <v>0</v>
      </c>
      <c r="E162" s="62">
        <f>Fluxo_de_Caixa_Janeiro34[[#This Row],[Março]]</f>
        <v>0</v>
      </c>
      <c r="F162" s="62">
        <f>Fluxo_de_Caixa_Janeiro345[[#This Row],[ABRIL]]</f>
        <v>0</v>
      </c>
      <c r="G162" s="62">
        <f>Fluxo_de_Caixa_Janeiro3459[[#This Row],[MAIO]]</f>
        <v>0</v>
      </c>
      <c r="H162" s="62">
        <f>Fluxo_de_Caixa_Janeiro345911[[#This Row],[JUNHO]]</f>
        <v>0</v>
      </c>
      <c r="I162" s="35"/>
      <c r="J162" s="62"/>
      <c r="K162" s="62"/>
      <c r="L162" s="62"/>
      <c r="M162" s="62"/>
      <c r="N162" s="119"/>
      <c r="O162" s="224">
        <f>SUM(Fluxo_de_Caixa_Janeiro310208[[#This Row],[Janeiro]:[Dezembro]])</f>
        <v>0</v>
      </c>
      <c r="P162" s="194">
        <f t="shared" si="9"/>
        <v>0</v>
      </c>
      <c r="Q162" s="75">
        <v>0</v>
      </c>
      <c r="R162" s="32" t="str">
        <f>IF(Fluxo_de_Caixa_Janeiro310208[[#This Row],[% ACUMULADO  1º SEMEST 2026]]&lt;=Fluxo_de_Caixa_Janeiro310208[[#This Row],[% ACUMULADO  1º SEMEST 2025]],"VERDADEIRO","FALSO")</f>
        <v>VERDADEIRO</v>
      </c>
      <c r="T162" s="516">
        <v>0</v>
      </c>
      <c r="U162" s="590">
        <v>0</v>
      </c>
    </row>
    <row r="163" spans="1:21" x14ac:dyDescent="0.25">
      <c r="B163" s="55" t="str">
        <f>Fluxo_de_Caixa_Janeiro[[#This Row],[Fluxo de Caixa 2026 CTR]]</f>
        <v>3.4.18. Seguro Prestamista - Variavel (Emprestimo)</v>
      </c>
      <c r="C163" s="35">
        <f>Fluxo_de_Caixa_Janeiro[[#This Row],[Janeiro]]</f>
        <v>0</v>
      </c>
      <c r="D163" s="62">
        <f>Fluxo_de_Caixa_Janeiro3[[#This Row],[Fevereiro]]</f>
        <v>0</v>
      </c>
      <c r="E163" s="62">
        <f>Fluxo_de_Caixa_Janeiro34[[#This Row],[Março]]</f>
        <v>0</v>
      </c>
      <c r="F163" s="62">
        <f>Fluxo_de_Caixa_Janeiro345[[#This Row],[ABRIL]]</f>
        <v>-4878.74</v>
      </c>
      <c r="G163" s="62">
        <f>Fluxo_de_Caixa_Janeiro3459[[#This Row],[MAIO]]</f>
        <v>-25558.06</v>
      </c>
      <c r="H163" s="62">
        <f>Fluxo_de_Caixa_Janeiro345911[[#This Row],[JUNHO]]</f>
        <v>0</v>
      </c>
      <c r="I163" s="35"/>
      <c r="J163" s="62"/>
      <c r="K163" s="62"/>
      <c r="L163" s="62"/>
      <c r="M163" s="62"/>
      <c r="N163" s="119"/>
      <c r="O163" s="224">
        <f>SUM(Fluxo_de_Caixa_Janeiro310208[[#This Row],[Janeiro]:[Dezembro]])</f>
        <v>-30436.800000000003</v>
      </c>
      <c r="P163" s="194">
        <f t="shared" si="9"/>
        <v>-6.5675186720009797E-3</v>
      </c>
      <c r="Q163" s="75">
        <v>0</v>
      </c>
      <c r="R163" s="32" t="str">
        <f>IF(Fluxo_de_Caixa_Janeiro310208[[#This Row],[% ACUMULADO  1º SEMEST 2026]]&lt;=Fluxo_de_Caixa_Janeiro310208[[#This Row],[% ACUMULADO  1º SEMEST 2025]],"VERDADEIRO","FALSO")</f>
        <v>VERDADEIRO</v>
      </c>
      <c r="T163" s="516">
        <v>0</v>
      </c>
      <c r="U163" s="590">
        <v>0</v>
      </c>
    </row>
    <row r="164" spans="1:21" x14ac:dyDescent="0.25">
      <c r="B164" s="55" t="str">
        <f>Fluxo_de_Caixa_Janeiro[[#This Row],[Fluxo de Caixa 2026 CTR]]</f>
        <v>3.4.19. Contribuições e Doações</v>
      </c>
      <c r="C164" s="35">
        <f>Fluxo_de_Caixa_Janeiro[[#This Row],[Janeiro]]</f>
        <v>0</v>
      </c>
      <c r="D164" s="62">
        <f>Fluxo_de_Caixa_Janeiro3[[#This Row],[Fevereiro]]</f>
        <v>0</v>
      </c>
      <c r="E164" s="62">
        <f>Fluxo_de_Caixa_Janeiro34[[#This Row],[Março]]</f>
        <v>0</v>
      </c>
      <c r="F164" s="62">
        <f>Fluxo_de_Caixa_Janeiro345[[#This Row],[ABRIL]]</f>
        <v>0</v>
      </c>
      <c r="G164" s="62">
        <f>Fluxo_de_Caixa_Janeiro3459[[#This Row],[MAIO]]</f>
        <v>0</v>
      </c>
      <c r="H164" s="62">
        <f>Fluxo_de_Caixa_Janeiro345911[[#This Row],[JUNHO]]</f>
        <v>0</v>
      </c>
      <c r="I164" s="35"/>
      <c r="J164" s="62"/>
      <c r="K164" s="62"/>
      <c r="L164" s="62"/>
      <c r="M164" s="62"/>
      <c r="N164" s="119"/>
      <c r="O164" s="224">
        <f>SUM(Fluxo_de_Caixa_Janeiro310208[[#This Row],[Janeiro]:[Dezembro]])</f>
        <v>0</v>
      </c>
      <c r="P164" s="194">
        <f t="shared" si="9"/>
        <v>0</v>
      </c>
      <c r="Q164" s="75">
        <v>0</v>
      </c>
      <c r="R164" s="32" t="str">
        <f>IF(Fluxo_de_Caixa_Janeiro310208[[#This Row],[% ACUMULADO  1º SEMEST 2026]]&lt;=Fluxo_de_Caixa_Janeiro310208[[#This Row],[% ACUMULADO  1º SEMEST 2025]],"VERDADEIRO","FALSO")</f>
        <v>VERDADEIRO</v>
      </c>
      <c r="S164" s="287"/>
      <c r="T164" s="516">
        <v>0</v>
      </c>
      <c r="U164" s="590">
        <v>0</v>
      </c>
    </row>
    <row r="165" spans="1:21" ht="15.75" thickBot="1" x14ac:dyDescent="0.3">
      <c r="B165" s="55" t="str">
        <f>Fluxo_de_Caixa_Janeiro[[#This Row],[Fluxo de Caixa 2026 CTR]]</f>
        <v>3.4.20. Aquisi. Equipam. ADM não Imobilizavel</v>
      </c>
      <c r="C165" s="35">
        <f>Fluxo_de_Caixa_Janeiro[[#This Row],[Janeiro]]</f>
        <v>0</v>
      </c>
      <c r="D165" s="62">
        <f>Fluxo_de_Caixa_Janeiro3[[#This Row],[Fevereiro]]</f>
        <v>64.98</v>
      </c>
      <c r="E165" s="62">
        <f>Fluxo_de_Caixa_Janeiro34[[#This Row],[Março]]</f>
        <v>0</v>
      </c>
      <c r="F165" s="62">
        <f>Fluxo_de_Caixa_Janeiro345[[#This Row],[ABRIL]]</f>
        <v>0</v>
      </c>
      <c r="G165" s="62">
        <f>Fluxo_de_Caixa_Janeiro3459[[#This Row],[MAIO]]</f>
        <v>0</v>
      </c>
      <c r="H165" s="62">
        <f>Fluxo_de_Caixa_Janeiro345911[[#This Row],[JUNHO]]</f>
        <v>0</v>
      </c>
      <c r="I165" s="35"/>
      <c r="J165" s="62"/>
      <c r="K165" s="62"/>
      <c r="L165" s="62"/>
      <c r="M165" s="62"/>
      <c r="N165" s="119"/>
      <c r="O165" s="224">
        <f>SUM(Fluxo_de_Caixa_Janeiro310208[[#This Row],[Janeiro]:[Dezembro]])</f>
        <v>64.98</v>
      </c>
      <c r="P165" s="194">
        <f t="shared" si="9"/>
        <v>1.4021098252990579E-5</v>
      </c>
      <c r="Q165" s="75">
        <v>2.2658454289421846E-4</v>
      </c>
      <c r="R165" s="32" t="str">
        <f>IF(Fluxo_de_Caixa_Janeiro310208[[#This Row],[% ACUMULADO  1º SEMEST 2026]]&lt;=Fluxo_de_Caixa_Janeiro310208[[#This Row],[% ACUMULADO  1º SEMEST 2025]],"VERDADEIRO","FALSO")</f>
        <v>VERDADEIRO</v>
      </c>
      <c r="T165" s="516">
        <v>1282.46</v>
      </c>
      <c r="U165" s="590">
        <v>2.2658454289421846E-4</v>
      </c>
    </row>
    <row r="166" spans="1:21" ht="15.75" hidden="1" thickBot="1" x14ac:dyDescent="0.3">
      <c r="B166" s="276">
        <f>Fluxo_de_Caixa_Janeiro[[#This Row],[Fluxo de Caixa 2026 CTR]]</f>
        <v>0</v>
      </c>
      <c r="C166" s="36">
        <f>Fluxo_de_Caixa_Janeiro[[#This Row],[Janeiro]]</f>
        <v>0</v>
      </c>
      <c r="D166" s="82">
        <f>Fluxo_de_Caixa_Janeiro3[[#This Row],[Fevereiro]]</f>
        <v>0</v>
      </c>
      <c r="E166" s="82">
        <f>Fluxo_de_Caixa_Janeiro34[[#This Row],[Março]]</f>
        <v>0</v>
      </c>
      <c r="F166" s="82">
        <f>Fluxo_de_Caixa_Janeiro345[[#This Row],[ABRIL]]</f>
        <v>0</v>
      </c>
      <c r="G166" s="82">
        <f>Fluxo_de_Caixa_Janeiro3459[[#This Row],[MAIO]]</f>
        <v>0</v>
      </c>
      <c r="H166" s="82">
        <f>Fluxo_de_Caixa_Janeiro345911[[#This Row],[JUNHO]]</f>
        <v>0</v>
      </c>
      <c r="I166" s="36"/>
      <c r="J166" s="82"/>
      <c r="K166" s="82"/>
      <c r="L166" s="82"/>
      <c r="M166" s="82"/>
      <c r="N166" s="120"/>
      <c r="O166" s="225">
        <f>SUM(Fluxo_de_Caixa_Janeiro310208[[#This Row],[Janeiro]:[Dezembro]])</f>
        <v>0</v>
      </c>
      <c r="P166" s="195">
        <f t="shared" si="9"/>
        <v>0</v>
      </c>
      <c r="Q166" s="96">
        <v>0</v>
      </c>
      <c r="R166" s="32" t="str">
        <f>IF(Fluxo_de_Caixa_Janeiro310208[[#This Row],[% ACUMULADO  1º SEMEST 2026]]&lt;=Fluxo_de_Caixa_Janeiro310208[[#This Row],[% ACUMULADO  1º SEMEST 2025]],"VERDADEIRO","FALSO")</f>
        <v>VERDADEIRO</v>
      </c>
      <c r="T166" s="517">
        <v>0</v>
      </c>
      <c r="U166" s="591">
        <v>0</v>
      </c>
    </row>
    <row r="167" spans="1:21" ht="19.5" thickBot="1" x14ac:dyDescent="0.35">
      <c r="A167" s="15" t="s">
        <v>6</v>
      </c>
      <c r="B167" s="168" t="str">
        <f>Fluxo_de_Caixa_Janeiro[[#This Row],[Fluxo de Caixa 2026 CTR]]</f>
        <v>3.5. DESPESAS FIXAS</v>
      </c>
      <c r="C167" s="158">
        <f>Fluxo_de_Caixa_Janeiro[[#This Row],[Janeiro]]</f>
        <v>-33111.79</v>
      </c>
      <c r="D167" s="97">
        <f>Fluxo_de_Caixa_Janeiro3[[#This Row],[Fevereiro]]</f>
        <v>-32358.45</v>
      </c>
      <c r="E167" s="97">
        <f>Fluxo_de_Caixa_Janeiro34[[#This Row],[Março]]</f>
        <v>-33970.92</v>
      </c>
      <c r="F167" s="97">
        <f>Fluxo_de_Caixa_Janeiro345[[#This Row],[ABRIL]]</f>
        <v>-30223.229999999996</v>
      </c>
      <c r="G167" s="97">
        <f>Fluxo_de_Caixa_Janeiro3459[[#This Row],[MAIO]]</f>
        <v>-29705.439999999999</v>
      </c>
      <c r="H167" s="97">
        <f>Fluxo_de_Caixa_Janeiro345911[[#This Row],[JUNHO]]</f>
        <v>0</v>
      </c>
      <c r="I167" s="158"/>
      <c r="J167" s="97"/>
      <c r="K167" s="97"/>
      <c r="L167" s="97"/>
      <c r="M167" s="97"/>
      <c r="N167" s="129"/>
      <c r="O167" s="226">
        <f>SUM(Fluxo_de_Caixa_Janeiro310208[[#This Row],[Janeiro]:[Dezembro]])</f>
        <v>-159369.82999999999</v>
      </c>
      <c r="P167" s="144">
        <f>-IFERROR(O167/$O$27,"0,00")</f>
        <v>3.4388120113764319E-2</v>
      </c>
      <c r="Q167" s="98">
        <v>2.9893807970029222E-2</v>
      </c>
      <c r="R167" s="32" t="str">
        <f>IF(Fluxo_de_Caixa_Janeiro310208[[#This Row],[% ACUMULADO  1º SEMEST 2026]]&lt;=Fluxo_de_Caixa_Janeiro310208[[#This Row],[% ACUMULADO  1º SEMEST 2025]],"VERDADEIRO","FALSO")</f>
        <v>FALSO</v>
      </c>
      <c r="T167" s="518">
        <v>-169197.83</v>
      </c>
      <c r="U167" s="592">
        <v>2.9893807970029222E-2</v>
      </c>
    </row>
    <row r="168" spans="1:21" x14ac:dyDescent="0.25">
      <c r="B168" s="169" t="str">
        <f>Fluxo_de_Caixa_Janeiro[[#This Row],[Fluxo de Caixa 2026 CTR]]</f>
        <v>3.5.01. Conta de Água</v>
      </c>
      <c r="C168" s="41">
        <f>Fluxo_de_Caixa_Janeiro[[#This Row],[Janeiro]]</f>
        <v>384.61</v>
      </c>
      <c r="D168" s="81">
        <f>Fluxo_de_Caixa_Janeiro3[[#This Row],[Fevereiro]]</f>
        <v>340.34</v>
      </c>
      <c r="E168" s="81">
        <f>Fluxo_de_Caixa_Janeiro34[[#This Row],[Março]]</f>
        <v>341.88</v>
      </c>
      <c r="F168" s="81">
        <f>Fluxo_de_Caixa_Janeiro345[[#This Row],[ABRIL]]</f>
        <v>258.52</v>
      </c>
      <c r="G168" s="81">
        <f>Fluxo_de_Caixa_Janeiro3459[[#This Row],[MAIO]]</f>
        <v>363.84</v>
      </c>
      <c r="H168" s="81">
        <f>Fluxo_de_Caixa_Janeiro345911[[#This Row],[JUNHO]]</f>
        <v>0</v>
      </c>
      <c r="I168" s="41"/>
      <c r="J168" s="81"/>
      <c r="K168" s="81"/>
      <c r="L168" s="81"/>
      <c r="M168" s="81"/>
      <c r="N168" s="118"/>
      <c r="O168" s="223">
        <f>SUM(Fluxo_de_Caixa_Janeiro310208[[#This Row],[Janeiro]:[Dezembro]])</f>
        <v>1689.1899999999998</v>
      </c>
      <c r="P168" s="193">
        <f t="shared" ref="P168:P181" si="10">IFERROR(O168/$O$27,"0,00%")</f>
        <v>3.6448597965480379E-4</v>
      </c>
      <c r="Q168" s="93">
        <v>4.0802921018682451E-4</v>
      </c>
      <c r="R168" s="32" t="str">
        <f>IF(Fluxo_de_Caixa_Janeiro310208[[#This Row],[% ACUMULADO  1º SEMEST 2026]]&lt;=Fluxo_de_Caixa_Janeiro310208[[#This Row],[% ACUMULADO  1º SEMEST 2025]],"VERDADEIRO","FALSO")</f>
        <v>VERDADEIRO</v>
      </c>
      <c r="T168" s="515">
        <v>2309.4300000000003</v>
      </c>
      <c r="U168" s="589">
        <v>4.0802921018682451E-4</v>
      </c>
    </row>
    <row r="169" spans="1:21" x14ac:dyDescent="0.25">
      <c r="B169" s="55" t="str">
        <f>Fluxo_de_Caixa_Janeiro[[#This Row],[Fluxo de Caixa 2026 CTR]]</f>
        <v xml:space="preserve">3.5.02. Conta de Energia </v>
      </c>
      <c r="C169" s="35">
        <f>Fluxo_de_Caixa_Janeiro[[#This Row],[Janeiro]]</f>
        <v>5592.25</v>
      </c>
      <c r="D169" s="62">
        <f>Fluxo_de_Caixa_Janeiro3[[#This Row],[Fevereiro]]</f>
        <v>2796.16</v>
      </c>
      <c r="E169" s="62">
        <f>Fluxo_de_Caixa_Janeiro34[[#This Row],[Março]]</f>
        <v>4043.81</v>
      </c>
      <c r="F169" s="407">
        <f>Fluxo_de_Caixa_Janeiro345[[#This Row],[ABRIL]]</f>
        <v>4410.7</v>
      </c>
      <c r="G169" s="407">
        <f>Fluxo_de_Caixa_Janeiro3459[[#This Row],[MAIO]]</f>
        <v>4339.57</v>
      </c>
      <c r="H169" s="407">
        <f>Fluxo_de_Caixa_Janeiro345911[[#This Row],[JUNHO]]</f>
        <v>0</v>
      </c>
      <c r="I169" s="35"/>
      <c r="J169" s="62"/>
      <c r="K169" s="62"/>
      <c r="L169" s="62"/>
      <c r="M169" s="62"/>
      <c r="N169" s="119"/>
      <c r="O169" s="224">
        <f>SUM(Fluxo_de_Caixa_Janeiro310208[[#This Row],[Janeiro]:[Dezembro]])</f>
        <v>21182.489999999998</v>
      </c>
      <c r="P169" s="194">
        <f t="shared" si="10"/>
        <v>4.5706644126345085E-3</v>
      </c>
      <c r="Q169" s="75">
        <v>3.7950428586148756E-3</v>
      </c>
      <c r="R169" s="32" t="str">
        <f>IF(Fluxo_de_Caixa_Janeiro310208[[#This Row],[% ACUMULADO  1º SEMEST 2026]]&lt;=Fluxo_de_Caixa_Janeiro310208[[#This Row],[% ACUMULADO  1º SEMEST 2025]],"VERDADEIRO","FALSO")</f>
        <v>FALSO</v>
      </c>
      <c r="T169" s="516">
        <v>21479.8</v>
      </c>
      <c r="U169" s="590">
        <v>3.7950428586148756E-3</v>
      </c>
    </row>
    <row r="170" spans="1:21" x14ac:dyDescent="0.25">
      <c r="B170" s="55" t="str">
        <f>Fluxo_de_Caixa_Janeiro[[#This Row],[Fluxo de Caixa 2026 CTR]]</f>
        <v>3.5.03. Conta de Telefone Fixo/Internet</v>
      </c>
      <c r="C170" s="35">
        <f>Fluxo_de_Caixa_Janeiro[[#This Row],[Janeiro]]</f>
        <v>928.7</v>
      </c>
      <c r="D170" s="62">
        <f>Fluxo_de_Caixa_Janeiro3[[#This Row],[Fevereiro]]</f>
        <v>928.7</v>
      </c>
      <c r="E170" s="62">
        <f>Fluxo_de_Caixa_Janeiro34[[#This Row],[Março]]</f>
        <v>928.7</v>
      </c>
      <c r="F170" s="407">
        <f>Fluxo_de_Caixa_Janeiro345[[#This Row],[ABRIL]]</f>
        <v>928.7</v>
      </c>
      <c r="G170" s="407">
        <f>Fluxo_de_Caixa_Janeiro3459[[#This Row],[MAIO]]</f>
        <v>928.7</v>
      </c>
      <c r="H170" s="407">
        <f>Fluxo_de_Caixa_Janeiro345911[[#This Row],[JUNHO]]</f>
        <v>0</v>
      </c>
      <c r="I170" s="35"/>
      <c r="J170" s="62"/>
      <c r="K170" s="62"/>
      <c r="L170" s="62"/>
      <c r="M170" s="62"/>
      <c r="N170" s="119"/>
      <c r="O170" s="224">
        <f>SUM(Fluxo_de_Caixa_Janeiro310208[[#This Row],[Janeiro]:[Dezembro]])</f>
        <v>4643.5</v>
      </c>
      <c r="P170" s="194">
        <f t="shared" si="10"/>
        <v>1.0019539818061211E-3</v>
      </c>
      <c r="Q170" s="75">
        <v>9.7379268293128923E-4</v>
      </c>
      <c r="R170" s="32" t="str">
        <f>IF(Fluxo_de_Caixa_Janeiro310208[[#This Row],[% ACUMULADO  1º SEMEST 2026]]&lt;=Fluxo_de_Caixa_Janeiro310208[[#This Row],[% ACUMULADO  1º SEMEST 2025]],"VERDADEIRO","FALSO")</f>
        <v>FALSO</v>
      </c>
      <c r="T170" s="516">
        <v>5511.63</v>
      </c>
      <c r="U170" s="590">
        <v>9.7379268293128923E-4</v>
      </c>
    </row>
    <row r="171" spans="1:21" x14ac:dyDescent="0.25">
      <c r="B171" s="55" t="str">
        <f>Fluxo_de_Caixa_Janeiro[[#This Row],[Fluxo de Caixa 2026 CTR]]</f>
        <v>3.5.04. Conta de Celular</v>
      </c>
      <c r="C171" s="35">
        <f>Fluxo_de_Caixa_Janeiro[[#This Row],[Janeiro]]</f>
        <v>918.23</v>
      </c>
      <c r="D171" s="62">
        <f>Fluxo_de_Caixa_Janeiro3[[#This Row],[Fevereiro]]</f>
        <v>423.25</v>
      </c>
      <c r="E171" s="62">
        <f>Fluxo_de_Caixa_Janeiro34[[#This Row],[Março]]</f>
        <v>449.91</v>
      </c>
      <c r="F171" s="407">
        <f>Fluxo_de_Caixa_Janeiro345[[#This Row],[ABRIL]]</f>
        <v>483.21</v>
      </c>
      <c r="G171" s="407">
        <f>Fluxo_de_Caixa_Janeiro3459[[#This Row],[MAIO]]</f>
        <v>493.33</v>
      </c>
      <c r="H171" s="407">
        <f>Fluxo_de_Caixa_Janeiro345911[[#This Row],[JUNHO]]</f>
        <v>0</v>
      </c>
      <c r="I171" s="35"/>
      <c r="J171" s="62"/>
      <c r="K171" s="62"/>
      <c r="L171" s="62"/>
      <c r="M171" s="62"/>
      <c r="N171" s="119"/>
      <c r="O171" s="224">
        <f>SUM(Fluxo_de_Caixa_Janeiro310208[[#This Row],[Janeiro]:[Dezembro]])</f>
        <v>2767.93</v>
      </c>
      <c r="P171" s="194">
        <f t="shared" si="10"/>
        <v>5.9725174649738705E-4</v>
      </c>
      <c r="Q171" s="75">
        <v>5.6144542288066033E-4</v>
      </c>
      <c r="R171" s="32" t="str">
        <f>IF(Fluxo_de_Caixa_Janeiro310208[[#This Row],[% ACUMULADO  1º SEMEST 2026]]&lt;=Fluxo_de_Caixa_Janeiro310208[[#This Row],[% ACUMULADO  1º SEMEST 2025]],"VERDADEIRO","FALSO")</f>
        <v>FALSO</v>
      </c>
      <c r="T171" s="516">
        <v>3177.76</v>
      </c>
      <c r="U171" s="590">
        <v>5.6144542288066033E-4</v>
      </c>
    </row>
    <row r="172" spans="1:21" x14ac:dyDescent="0.25">
      <c r="B172" s="55" t="str">
        <f>Fluxo_de_Caixa_Janeiro[[#This Row],[Fluxo de Caixa 2026 CTR]]</f>
        <v>3.5.05. Aluguel Predial</v>
      </c>
      <c r="C172" s="35">
        <f>Fluxo_de_Caixa_Janeiro[[#This Row],[Janeiro]]</f>
        <v>18400</v>
      </c>
      <c r="D172" s="62">
        <f>Fluxo_de_Caixa_Janeiro3[[#This Row],[Fevereiro]]</f>
        <v>18200</v>
      </c>
      <c r="E172" s="62">
        <f>Fluxo_de_Caixa_Janeiro34[[#This Row],[Março]]</f>
        <v>18200</v>
      </c>
      <c r="F172" s="407">
        <f>Fluxo_de_Caixa_Janeiro345[[#This Row],[ABRIL]]</f>
        <v>14000</v>
      </c>
      <c r="G172" s="407">
        <f>Fluxo_de_Caixa_Janeiro3459[[#This Row],[MAIO]]</f>
        <v>14000</v>
      </c>
      <c r="H172" s="407">
        <f>Fluxo_de_Caixa_Janeiro345911[[#This Row],[JUNHO]]</f>
        <v>0</v>
      </c>
      <c r="I172" s="35"/>
      <c r="J172" s="62"/>
      <c r="K172" s="62"/>
      <c r="L172" s="62"/>
      <c r="M172" s="62"/>
      <c r="N172" s="119"/>
      <c r="O172" s="224">
        <f>SUM(Fluxo_de_Caixa_Janeiro310208[[#This Row],[Janeiro]:[Dezembro]])</f>
        <v>82800</v>
      </c>
      <c r="P172" s="194">
        <f t="shared" si="10"/>
        <v>1.786621938054201E-2</v>
      </c>
      <c r="Q172" s="75">
        <v>1.7369468652109057E-2</v>
      </c>
      <c r="R172" s="32" t="str">
        <f>IF(Fluxo_de_Caixa_Janeiro310208[[#This Row],[% ACUMULADO  1º SEMEST 2026]]&lt;=Fluxo_de_Caixa_Janeiro310208[[#This Row],[% ACUMULADO  1º SEMEST 2025]],"VERDADEIRO","FALSO")</f>
        <v>FALSO</v>
      </c>
      <c r="T172" s="516">
        <v>98310.540000000008</v>
      </c>
      <c r="U172" s="590">
        <v>1.7369468652109057E-2</v>
      </c>
    </row>
    <row r="173" spans="1:21" x14ac:dyDescent="0.25">
      <c r="B173" s="55" t="str">
        <f>Fluxo_de_Caixa_Janeiro[[#This Row],[Fluxo de Caixa 2026 CTR]]</f>
        <v>3.5.06. Aluguel Maquina de Cartão</v>
      </c>
      <c r="C173" s="35">
        <f>Fluxo_de_Caixa_Janeiro[[#This Row],[Janeiro]]</f>
        <v>0</v>
      </c>
      <c r="D173" s="62">
        <f>Fluxo_de_Caixa_Janeiro3[[#This Row],[Fevereiro]]</f>
        <v>0</v>
      </c>
      <c r="E173" s="62">
        <f>Fluxo_de_Caixa_Janeiro34[[#This Row],[Março]]</f>
        <v>0</v>
      </c>
      <c r="F173" s="407">
        <f>Fluxo_de_Caixa_Janeiro345[[#This Row],[ABRIL]]</f>
        <v>0</v>
      </c>
      <c r="G173" s="407">
        <f>Fluxo_de_Caixa_Janeiro3459[[#This Row],[MAIO]]</f>
        <v>0</v>
      </c>
      <c r="H173" s="407">
        <f>Fluxo_de_Caixa_Janeiro345911[[#This Row],[JUNHO]]</f>
        <v>0</v>
      </c>
      <c r="I173" s="35"/>
      <c r="J173" s="62"/>
      <c r="K173" s="62"/>
      <c r="L173" s="62"/>
      <c r="M173" s="62"/>
      <c r="N173" s="119"/>
      <c r="O173" s="224">
        <f>SUM(Fluxo_de_Caixa_Janeiro310208[[#This Row],[Janeiro]:[Dezembro]])</f>
        <v>0</v>
      </c>
      <c r="P173" s="194">
        <f t="shared" si="10"/>
        <v>0</v>
      </c>
      <c r="Q173" s="75">
        <v>0</v>
      </c>
      <c r="R173" s="32" t="str">
        <f>IF(Fluxo_de_Caixa_Janeiro310208[[#This Row],[% ACUMULADO  1º SEMEST 2026]]&lt;=Fluxo_de_Caixa_Janeiro310208[[#This Row],[% ACUMULADO  1º SEMEST 2025]],"VERDADEIRO","FALSO")</f>
        <v>VERDADEIRO</v>
      </c>
      <c r="T173" s="516">
        <v>0</v>
      </c>
      <c r="U173" s="590">
        <v>0</v>
      </c>
    </row>
    <row r="174" spans="1:21" x14ac:dyDescent="0.25">
      <c r="B174" s="169" t="str">
        <f>Fluxo_de_Caixa_Janeiro[[#This Row],[Fluxo de Caixa 2026 CTR]]</f>
        <v>3.5.07. Empresa de Vigilância e Monitoramento</v>
      </c>
      <c r="C174" s="41">
        <f>Fluxo_de_Caixa_Janeiro[[#This Row],[Janeiro]]</f>
        <v>670</v>
      </c>
      <c r="D174" s="81">
        <f>Fluxo_de_Caixa_Janeiro3[[#This Row],[Fevereiro]]</f>
        <v>670</v>
      </c>
      <c r="E174" s="81">
        <f>Fluxo_de_Caixa_Janeiro34[[#This Row],[Março]]</f>
        <v>1006.62</v>
      </c>
      <c r="F174" s="81">
        <f>Fluxo_de_Caixa_Janeiro345[[#This Row],[ABRIL]]</f>
        <v>1142.0999999999999</v>
      </c>
      <c r="G174" s="81">
        <f>Fluxo_de_Caixa_Janeiro3459[[#This Row],[MAIO]]</f>
        <v>580</v>
      </c>
      <c r="H174" s="81">
        <f>Fluxo_de_Caixa_Janeiro345911[[#This Row],[JUNHO]]</f>
        <v>0</v>
      </c>
      <c r="I174" s="41"/>
      <c r="J174" s="81"/>
      <c r="K174" s="81"/>
      <c r="L174" s="81"/>
      <c r="M174" s="81"/>
      <c r="N174" s="118"/>
      <c r="O174" s="223">
        <f>SUM(Fluxo_de_Caixa_Janeiro310208[[#This Row],[Janeiro]:[Dezembro]])</f>
        <v>4068.72</v>
      </c>
      <c r="P174" s="193">
        <f t="shared" si="10"/>
        <v>8.7793048451689478E-4</v>
      </c>
      <c r="Q174" s="93">
        <v>5.8952158097628918E-4</v>
      </c>
      <c r="R174" s="32" t="str">
        <f>IF(Fluxo_de_Caixa_Janeiro310208[[#This Row],[% ACUMULADO  1º SEMEST 2026]]&lt;=Fluxo_de_Caixa_Janeiro310208[[#This Row],[% ACUMULADO  1º SEMEST 2025]],"VERDADEIRO","FALSO")</f>
        <v>FALSO</v>
      </c>
      <c r="T174" s="515">
        <v>3336.67</v>
      </c>
      <c r="U174" s="589">
        <v>5.8952158097628918E-4</v>
      </c>
    </row>
    <row r="175" spans="1:21" hidden="1" x14ac:dyDescent="0.25">
      <c r="B175" s="55">
        <f>Fluxo_de_Caixa_Janeiro[[#This Row],[Fluxo de Caixa 2026 CTR]]</f>
        <v>0</v>
      </c>
      <c r="C175" s="35">
        <f>Fluxo_de_Caixa_Janeiro[[#This Row],[Janeiro]]</f>
        <v>0</v>
      </c>
      <c r="D175" s="62">
        <f>Fluxo_de_Caixa_Janeiro3[[#This Row],[Fevereiro]]</f>
        <v>0</v>
      </c>
      <c r="E175" s="62">
        <f>Fluxo_de_Caixa_Janeiro34[[#This Row],[Março]]</f>
        <v>0</v>
      </c>
      <c r="F175" s="62">
        <f>Fluxo_de_Caixa_Janeiro345[[#This Row],[ABRIL]]</f>
        <v>0</v>
      </c>
      <c r="G175" s="62">
        <f>Fluxo_de_Caixa_Janeiro3459[[#This Row],[MAIO]]</f>
        <v>0</v>
      </c>
      <c r="H175" s="62">
        <f>Fluxo_de_Caixa_Janeiro345911[[#This Row],[JUNHO]]</f>
        <v>0</v>
      </c>
      <c r="I175" s="35"/>
      <c r="J175" s="62"/>
      <c r="K175" s="62"/>
      <c r="L175" s="62"/>
      <c r="M175" s="62"/>
      <c r="N175" s="119"/>
      <c r="O175" s="224">
        <f>SUM(Fluxo_de_Caixa_Janeiro310208[[#This Row],[Janeiro]:[Dezembro]])</f>
        <v>0</v>
      </c>
      <c r="P175" s="194">
        <f t="shared" si="10"/>
        <v>0</v>
      </c>
      <c r="Q175" s="75">
        <v>0</v>
      </c>
      <c r="R175" s="32" t="str">
        <f>IF(Fluxo_de_Caixa_Janeiro310208[[#This Row],[% ACUMULADO  1º SEMEST 2026]]&lt;=Fluxo_de_Caixa_Janeiro310208[[#This Row],[% ACUMULADO  1º SEMEST 2025]],"VERDADEIRO","FALSO")</f>
        <v>VERDADEIRO</v>
      </c>
      <c r="T175" s="516">
        <v>0</v>
      </c>
      <c r="U175" s="590">
        <v>0</v>
      </c>
    </row>
    <row r="176" spans="1:21" x14ac:dyDescent="0.25">
      <c r="B176" s="55" t="str">
        <f>Fluxo_de_Caixa_Janeiro[[#This Row],[Fluxo de Caixa 2026 CTR]]</f>
        <v>3.5.09. Sindicato Patronal / Entidades de apoio Comercio/Indus</v>
      </c>
      <c r="C176" s="35">
        <f>Fluxo_de_Caixa_Janeiro[[#This Row],[Janeiro]]</f>
        <v>0</v>
      </c>
      <c r="D176" s="62">
        <f>Fluxo_de_Caixa_Janeiro3[[#This Row],[Fevereiro]]</f>
        <v>0</v>
      </c>
      <c r="E176" s="62">
        <f>Fluxo_de_Caixa_Janeiro34[[#This Row],[Março]]</f>
        <v>0</v>
      </c>
      <c r="F176" s="62">
        <f>Fluxo_de_Caixa_Janeiro345[[#This Row],[ABRIL]]</f>
        <v>0</v>
      </c>
      <c r="G176" s="62">
        <f>Fluxo_de_Caixa_Janeiro3459[[#This Row],[MAIO]]</f>
        <v>0</v>
      </c>
      <c r="H176" s="62">
        <f>Fluxo_de_Caixa_Janeiro345911[[#This Row],[JUNHO]]</f>
        <v>0</v>
      </c>
      <c r="I176" s="35"/>
      <c r="J176" s="62"/>
      <c r="K176" s="62"/>
      <c r="L176" s="62"/>
      <c r="M176" s="62"/>
      <c r="N176" s="119"/>
      <c r="O176" s="224">
        <f>SUM(Fluxo_de_Caixa_Janeiro310208[[#This Row],[Janeiro]:[Dezembro]])</f>
        <v>0</v>
      </c>
      <c r="P176" s="194">
        <f t="shared" si="10"/>
        <v>0</v>
      </c>
      <c r="Q176" s="75">
        <v>0</v>
      </c>
      <c r="R176" s="32" t="str">
        <f>IF(Fluxo_de_Caixa_Janeiro310208[[#This Row],[% ACUMULADO  1º SEMEST 2026]]&lt;=Fluxo_de_Caixa_Janeiro310208[[#This Row],[% ACUMULADO  1º SEMEST 2025]],"VERDADEIRO","FALSO")</f>
        <v>VERDADEIRO</v>
      </c>
      <c r="T176" s="516">
        <v>0</v>
      </c>
      <c r="U176" s="590">
        <v>0</v>
      </c>
    </row>
    <row r="177" spans="2:21" x14ac:dyDescent="0.25">
      <c r="B177" s="55" t="str">
        <f>Fluxo_de_Caixa_Janeiro[[#This Row],[Fluxo de Caixa 2026 CTR]]</f>
        <v>3.5.10. Honorarios Contabilidade</v>
      </c>
      <c r="C177" s="407">
        <f>Fluxo_de_Caixa_Janeiro[[#This Row],[Janeiro]]</f>
        <v>6218</v>
      </c>
      <c r="D177" s="407">
        <f>Fluxo_de_Caixa_Janeiro3[[#This Row],[Fevereiro]]</f>
        <v>9000</v>
      </c>
      <c r="E177" s="407">
        <f>Fluxo_de_Caixa_Janeiro34[[#This Row],[Março]]</f>
        <v>9000</v>
      </c>
      <c r="F177" s="407">
        <f>Fluxo_de_Caixa_Janeiro345[[#This Row],[ABRIL]]</f>
        <v>9000</v>
      </c>
      <c r="G177" s="407">
        <f>Fluxo_de_Caixa_Janeiro3459[[#This Row],[MAIO]]</f>
        <v>9000</v>
      </c>
      <c r="H177" s="407">
        <f>Fluxo_de_Caixa_Janeiro345911[[#This Row],[JUNHO]]</f>
        <v>0</v>
      </c>
      <c r="I177" s="35"/>
      <c r="J177" s="62"/>
      <c r="K177" s="62"/>
      <c r="L177" s="62"/>
      <c r="M177" s="62"/>
      <c r="N177" s="119"/>
      <c r="O177" s="224">
        <f>SUM(Fluxo_de_Caixa_Janeiro310208[[#This Row],[Janeiro]:[Dezembro]])</f>
        <v>42218</v>
      </c>
      <c r="P177" s="194">
        <f t="shared" si="10"/>
        <v>9.109614128112592E-3</v>
      </c>
      <c r="Q177" s="75">
        <v>6.1965075623302323E-3</v>
      </c>
      <c r="R177" s="32" t="str">
        <f>IF(Fluxo_de_Caixa_Janeiro310208[[#This Row],[% ACUMULADO  1º SEMEST 2026]]&lt;=Fluxo_de_Caixa_Janeiro310208[[#This Row],[% ACUMULADO  1º SEMEST 2025]],"VERDADEIRO","FALSO")</f>
        <v>FALSO</v>
      </c>
      <c r="T177" s="516">
        <v>35072</v>
      </c>
      <c r="U177" s="590">
        <v>6.1965075623302323E-3</v>
      </c>
    </row>
    <row r="178" spans="2:21" ht="15.75" thickBot="1" x14ac:dyDescent="0.3">
      <c r="B178" s="55" t="str">
        <f>Fluxo_de_Caixa_Janeiro[[#This Row],[Fluxo de Caixa 2026 CTR]]</f>
        <v>3.5.10.01. DECIMO TERCEIRO CONTABILIDADE</v>
      </c>
      <c r="C178" s="35">
        <f>Fluxo_de_Caixa_Janeiro[[#This Row],[Janeiro]]</f>
        <v>0</v>
      </c>
      <c r="D178" s="62">
        <f>Fluxo_de_Caixa_Janeiro3[[#This Row],[Fevereiro]]</f>
        <v>0</v>
      </c>
      <c r="E178" s="62">
        <f>Fluxo_de_Caixa_Janeiro34[[#This Row],[Março]]</f>
        <v>0</v>
      </c>
      <c r="F178" s="62">
        <f>Fluxo_de_Caixa_Janeiro345[[#This Row],[ABRIL]]</f>
        <v>0</v>
      </c>
      <c r="G178" s="62">
        <f>Fluxo_de_Caixa_Janeiro3459[[#This Row],[MAIO]]</f>
        <v>0</v>
      </c>
      <c r="H178" s="62">
        <f>Fluxo_de_Caixa_Janeiro345911[[#This Row],[JUNHO]]</f>
        <v>0</v>
      </c>
      <c r="I178" s="35"/>
      <c r="J178" s="62"/>
      <c r="K178" s="62"/>
      <c r="L178" s="62"/>
      <c r="M178" s="62"/>
      <c r="N178" s="119"/>
      <c r="O178" s="224">
        <f>SUM(Fluxo_de_Caixa_Janeiro310208[[#This Row],[Janeiro]:[Dezembro]])</f>
        <v>0</v>
      </c>
      <c r="P178" s="194">
        <f t="shared" si="10"/>
        <v>0</v>
      </c>
      <c r="Q178" s="75">
        <v>0</v>
      </c>
      <c r="R178" s="32" t="str">
        <f>IF(Fluxo_de_Caixa_Janeiro310208[[#This Row],[% ACUMULADO  1º SEMEST 2026]]&lt;=Fluxo_de_Caixa_Janeiro310208[[#This Row],[% ACUMULADO  1º SEMEST 2025]],"VERDADEIRO","FALSO")</f>
        <v>VERDADEIRO</v>
      </c>
      <c r="T178" s="516">
        <v>0</v>
      </c>
      <c r="U178" s="590">
        <v>0</v>
      </c>
    </row>
    <row r="179" spans="2:21" hidden="1" x14ac:dyDescent="0.25">
      <c r="B179" s="55">
        <f>Fluxo_de_Caixa_Janeiro[[#This Row],[Fluxo de Caixa 2026 CTR]]</f>
        <v>0</v>
      </c>
      <c r="C179" s="35">
        <f>Fluxo_de_Caixa_Janeiro[[#This Row],[Janeiro]]</f>
        <v>0</v>
      </c>
      <c r="D179" s="62">
        <f>Fluxo_de_Caixa_Janeiro3[[#This Row],[Fevereiro]]</f>
        <v>0</v>
      </c>
      <c r="E179" s="62">
        <f>Fluxo_de_Caixa_Janeiro34[[#This Row],[Março]]</f>
        <v>0</v>
      </c>
      <c r="F179" s="62">
        <f>Fluxo_de_Caixa_Janeiro345[[#This Row],[ABRIL]]</f>
        <v>0</v>
      </c>
      <c r="G179" s="62">
        <f>Fluxo_de_Caixa_Janeiro3459[[#This Row],[MAIO]]</f>
        <v>0</v>
      </c>
      <c r="H179" s="62">
        <f>Fluxo_de_Caixa_Janeiro345911[[#This Row],[JUNHO]]</f>
        <v>0</v>
      </c>
      <c r="I179" s="35"/>
      <c r="J179" s="62"/>
      <c r="K179" s="62"/>
      <c r="L179" s="62"/>
      <c r="M179" s="62"/>
      <c r="N179" s="119"/>
      <c r="O179" s="224">
        <f>SUM(Fluxo_de_Caixa_Janeiro310208[[#This Row],[Janeiro]:[Dezembro]])</f>
        <v>0</v>
      </c>
      <c r="P179" s="194">
        <f t="shared" si="10"/>
        <v>0</v>
      </c>
      <c r="Q179" s="75">
        <v>0</v>
      </c>
      <c r="R179" s="32" t="str">
        <f>IF(Fluxo_de_Caixa_Janeiro310208[[#This Row],[% ACUMULADO  1º SEMEST 2026]]&lt;=Fluxo_de_Caixa_Janeiro310208[[#This Row],[% ACUMULADO  1º SEMEST 2025]],"VERDADEIRO","FALSO")</f>
        <v>VERDADEIRO</v>
      </c>
      <c r="T179" s="516">
        <v>0</v>
      </c>
      <c r="U179" s="590">
        <v>0</v>
      </c>
    </row>
    <row r="180" spans="2:21" hidden="1" x14ac:dyDescent="0.25">
      <c r="B180" s="55">
        <f>Fluxo_de_Caixa_Janeiro[[#This Row],[Fluxo de Caixa 2026 CTR]]</f>
        <v>0</v>
      </c>
      <c r="C180" s="35">
        <f>Fluxo_de_Caixa_Janeiro[[#This Row],[Janeiro]]</f>
        <v>0</v>
      </c>
      <c r="D180" s="62">
        <f>Fluxo_de_Caixa_Janeiro3[[#This Row],[Fevereiro]]</f>
        <v>0</v>
      </c>
      <c r="E180" s="62">
        <f>Fluxo_de_Caixa_Janeiro34[[#This Row],[Março]]</f>
        <v>0</v>
      </c>
      <c r="F180" s="62">
        <f>Fluxo_de_Caixa_Janeiro345[[#This Row],[ABRIL]]</f>
        <v>0</v>
      </c>
      <c r="G180" s="62">
        <f>Fluxo_de_Caixa_Janeiro3459[[#This Row],[MAIO]]</f>
        <v>0</v>
      </c>
      <c r="H180" s="62">
        <f>Fluxo_de_Caixa_Janeiro345911[[#This Row],[JUNHO]]</f>
        <v>0</v>
      </c>
      <c r="I180" s="35"/>
      <c r="J180" s="62"/>
      <c r="K180" s="62"/>
      <c r="L180" s="62"/>
      <c r="M180" s="62"/>
      <c r="N180" s="119"/>
      <c r="O180" s="224">
        <f>SUM(Fluxo_de_Caixa_Janeiro310208[[#This Row],[Janeiro]:[Dezembro]])</f>
        <v>0</v>
      </c>
      <c r="P180" s="194">
        <f t="shared" si="10"/>
        <v>0</v>
      </c>
      <c r="Q180" s="75">
        <v>0</v>
      </c>
      <c r="R180" s="32" t="str">
        <f>IF(Fluxo_de_Caixa_Janeiro310208[[#This Row],[% ACUMULADO  1º SEMEST 2026]]&lt;=Fluxo_de_Caixa_Janeiro310208[[#This Row],[% ACUMULADO  1º SEMEST 2025]],"VERDADEIRO","FALSO")</f>
        <v>VERDADEIRO</v>
      </c>
      <c r="T180" s="516">
        <v>0</v>
      </c>
      <c r="U180" s="590">
        <v>0</v>
      </c>
    </row>
    <row r="181" spans="2:21" ht="15.75" hidden="1" thickBot="1" x14ac:dyDescent="0.3">
      <c r="B181" s="55">
        <f>Fluxo_de_Caixa_Janeiro[[#This Row],[Fluxo de Caixa 2026 CTR]]</f>
        <v>0</v>
      </c>
      <c r="C181" s="35">
        <f>Fluxo_de_Caixa_Janeiro[[#This Row],[Janeiro]]</f>
        <v>0</v>
      </c>
      <c r="D181" s="62">
        <f>Fluxo_de_Caixa_Janeiro3[[#This Row],[Fevereiro]]</f>
        <v>0</v>
      </c>
      <c r="E181" s="62">
        <f>Fluxo_de_Caixa_Janeiro34[[#This Row],[Março]]</f>
        <v>0</v>
      </c>
      <c r="F181" s="62">
        <f>Fluxo_de_Caixa_Janeiro345[[#This Row],[ABRIL]]</f>
        <v>0</v>
      </c>
      <c r="G181" s="62">
        <f>Fluxo_de_Caixa_Janeiro3459[[#This Row],[MAIO]]</f>
        <v>0</v>
      </c>
      <c r="H181" s="62">
        <f>Fluxo_de_Caixa_Janeiro345911[[#This Row],[JUNHO]]</f>
        <v>0</v>
      </c>
      <c r="I181" s="35"/>
      <c r="J181" s="62"/>
      <c r="K181" s="62"/>
      <c r="L181" s="62"/>
      <c r="M181" s="62"/>
      <c r="N181" s="119"/>
      <c r="O181" s="224">
        <f>SUM(Fluxo_de_Caixa_Janeiro310208[[#This Row],[Janeiro]:[Dezembro]])</f>
        <v>0</v>
      </c>
      <c r="P181" s="194">
        <f t="shared" si="10"/>
        <v>0</v>
      </c>
      <c r="Q181" s="75">
        <v>0</v>
      </c>
      <c r="R181" s="32" t="str">
        <f>IF(Fluxo_de_Caixa_Janeiro310208[[#This Row],[% ACUMULADO  1º SEMEST 2026]]&lt;=Fluxo_de_Caixa_Janeiro310208[[#This Row],[% ACUMULADO  1º SEMEST 2025]],"VERDADEIRO","FALSO")</f>
        <v>VERDADEIRO</v>
      </c>
      <c r="T181" s="516">
        <v>0</v>
      </c>
      <c r="U181" s="590">
        <v>0</v>
      </c>
    </row>
    <row r="182" spans="2:21" ht="19.5" thickBot="1" x14ac:dyDescent="0.35">
      <c r="B182" s="277" t="str">
        <f>Fluxo_de_Caixa_Janeiro[[#This Row],[Fluxo de Caixa 2026 CTR]]</f>
        <v>3.6. DESPESAS FINANCEIRAS</v>
      </c>
      <c r="C182" s="158">
        <f>Fluxo_de_Caixa_Janeiro[[#This Row],[Janeiro]]</f>
        <v>-23254.140000000003</v>
      </c>
      <c r="D182" s="97">
        <f>Fluxo_de_Caixa_Janeiro3[[#This Row],[Fevereiro]]</f>
        <v>-31980.16</v>
      </c>
      <c r="E182" s="97">
        <f>Fluxo_de_Caixa_Janeiro34[[#This Row],[Março]]</f>
        <v>-68559.16</v>
      </c>
      <c r="F182" s="97">
        <f>Fluxo_de_Caixa_Janeiro345[[#This Row],[ABRIL]]</f>
        <v>-23958.309999999998</v>
      </c>
      <c r="G182" s="97">
        <f>Fluxo_de_Caixa_Janeiro3459[[#This Row],[MAIO]]</f>
        <v>-49700.920000000006</v>
      </c>
      <c r="H182" s="97">
        <f>Fluxo_de_Caixa_Janeiro345911[[#This Row],[JUNHO]]</f>
        <v>0</v>
      </c>
      <c r="I182" s="158"/>
      <c r="J182" s="97"/>
      <c r="K182" s="97"/>
      <c r="L182" s="97"/>
      <c r="M182" s="97"/>
      <c r="N182" s="129"/>
      <c r="O182" s="226">
        <f>SUM(Fluxo_de_Caixa_Janeiro310208[[#This Row],[Janeiro]:[Dezembro]])</f>
        <v>-197452.69000000003</v>
      </c>
      <c r="P182" s="144">
        <f>-IFERROR(O182/$O$27,"0,00")</f>
        <v>4.2605471942248237E-2</v>
      </c>
      <c r="Q182" s="98">
        <v>5.324185517605988E-3</v>
      </c>
      <c r="R182" s="32" t="str">
        <f>IF(Fluxo_de_Caixa_Janeiro310208[[#This Row],[% ACUMULADO  1º SEMEST 2026]]&lt;=Fluxo_de_Caixa_Janeiro310208[[#This Row],[% ACUMULADO  1º SEMEST 2025]],"VERDADEIRO","FALSO")</f>
        <v>FALSO</v>
      </c>
      <c r="T182" s="518">
        <v>-30134.69</v>
      </c>
      <c r="U182" s="592">
        <v>5.324185517605988E-3</v>
      </c>
    </row>
    <row r="183" spans="2:21" x14ac:dyDescent="0.25">
      <c r="B183" s="386" t="str">
        <f>Fluxo_de_Caixa_Janeiro[[#This Row],[Fluxo de Caixa 2026 CTR]]</f>
        <v xml:space="preserve">3.6.01. Tarifas Bancárias </v>
      </c>
      <c r="C183" s="36">
        <f>Fluxo_de_Caixa_Janeiro[[#This Row],[Janeiro]]</f>
        <v>1154.2700000000002</v>
      </c>
      <c r="D183" s="82">
        <f>Fluxo_de_Caixa_Janeiro3[[#This Row],[Fevereiro]]</f>
        <v>1343.4800000000002</v>
      </c>
      <c r="E183" s="82">
        <f>Fluxo_de_Caixa_Janeiro34[[#This Row],[Março]]</f>
        <v>1516.4700000000003</v>
      </c>
      <c r="F183" s="82">
        <f>Fluxo_de_Caixa_Janeiro345[[#This Row],[ABRIL]]</f>
        <v>1650.93</v>
      </c>
      <c r="G183" s="82">
        <f>Fluxo_de_Caixa_Janeiro3459[[#This Row],[MAIO]]</f>
        <v>1686.44</v>
      </c>
      <c r="H183" s="82">
        <f>Fluxo_de_Caixa_Janeiro345911[[#This Row],[JUNHO]]</f>
        <v>0</v>
      </c>
      <c r="I183" s="36"/>
      <c r="J183" s="82"/>
      <c r="K183" s="82"/>
      <c r="L183" s="82"/>
      <c r="M183" s="82"/>
      <c r="N183" s="120"/>
      <c r="O183" s="225">
        <f>SUM(Fluxo_de_Caixa_Janeiro310208[[#This Row],[Janeiro]:[Dezembro]])</f>
        <v>7351.59</v>
      </c>
      <c r="P183" s="195">
        <f>IFERROR(O183/$O$27,"0,00%")</f>
        <v>1.586293716615928E-3</v>
      </c>
      <c r="Q183" s="96">
        <v>1.6896189892200396E-3</v>
      </c>
      <c r="R183" s="32" t="str">
        <f>IF(Fluxo_de_Caixa_Janeiro310208[[#This Row],[% ACUMULADO  1º SEMEST 2026]]&lt;=Fluxo_de_Caixa_Janeiro310208[[#This Row],[% ACUMULADO  1º SEMEST 2025]],"VERDADEIRO","FALSO")</f>
        <v>VERDADEIRO</v>
      </c>
      <c r="T183" s="517">
        <v>9563.18</v>
      </c>
      <c r="U183" s="591">
        <v>1.6896189892200396E-3</v>
      </c>
    </row>
    <row r="184" spans="2:21" x14ac:dyDescent="0.25">
      <c r="B184" s="385" t="str">
        <f>Fluxo_de_Caixa_Janeiro[[#This Row],[Fluxo de Caixa 2026 CTR]]</f>
        <v>3.6.02. IOF</v>
      </c>
      <c r="C184" s="357">
        <f>Fluxo_de_Caixa_Janeiro[[#This Row],[Janeiro]]</f>
        <v>873.47</v>
      </c>
      <c r="D184" s="306">
        <f>Fluxo_de_Caixa_Janeiro3[[#This Row],[Fevereiro]]</f>
        <v>456.5</v>
      </c>
      <c r="E184" s="306">
        <f>Fluxo_de_Caixa_Janeiro34[[#This Row],[Março]]</f>
        <v>386.78</v>
      </c>
      <c r="F184" s="306">
        <f>Fluxo_de_Caixa_Janeiro345[[#This Row],[ABRIL]]</f>
        <v>434.42</v>
      </c>
      <c r="G184" s="306">
        <f>Fluxo_de_Caixa_Janeiro3459[[#This Row],[MAIO]]</f>
        <v>0</v>
      </c>
      <c r="H184" s="306">
        <f>Fluxo_de_Caixa_Janeiro345911[[#This Row],[JUNHO]]</f>
        <v>0</v>
      </c>
      <c r="I184" s="357"/>
      <c r="J184" s="306"/>
      <c r="K184" s="306"/>
      <c r="L184" s="306"/>
      <c r="M184" s="306"/>
      <c r="N184" s="306"/>
      <c r="O184" s="225">
        <f>SUM(Fluxo_de_Caixa_Janeiro310208[[#This Row],[Janeiro]:[Dezembro]])</f>
        <v>2151.17</v>
      </c>
      <c r="P184" s="195">
        <f t="shared" ref="P184:P199" si="11">IFERROR(O184/$O$27,"0,00%")</f>
        <v>4.6416998967198744E-4</v>
      </c>
      <c r="Q184" s="96">
        <v>2.8058490133829385E-5</v>
      </c>
      <c r="R184" s="32"/>
      <c r="T184" s="517">
        <v>158.81</v>
      </c>
      <c r="U184" s="591">
        <v>2.8058490133829385E-5</v>
      </c>
    </row>
    <row r="185" spans="2:21" x14ac:dyDescent="0.25">
      <c r="B185" s="385" t="str">
        <f>Fluxo_de_Caixa_Janeiro[[#This Row],[Fluxo de Caixa 2026 CTR]]</f>
        <v>3.6.03. Perdas e Devedores Duvidosos</v>
      </c>
      <c r="C185" s="357">
        <f>Fluxo_de_Caixa_Janeiro[[#This Row],[Janeiro]]</f>
        <v>0</v>
      </c>
      <c r="D185" s="306">
        <f>Fluxo_de_Caixa_Janeiro3[[#This Row],[Fevereiro]]</f>
        <v>0</v>
      </c>
      <c r="E185" s="306">
        <f>Fluxo_de_Caixa_Janeiro34[[#This Row],[Março]]</f>
        <v>0</v>
      </c>
      <c r="F185" s="306">
        <f>Fluxo_de_Caixa_Janeiro345[[#This Row],[ABRIL]]</f>
        <v>0</v>
      </c>
      <c r="G185" s="306">
        <f>Fluxo_de_Caixa_Janeiro3459[[#This Row],[MAIO]]</f>
        <v>0</v>
      </c>
      <c r="H185" s="306">
        <f>Fluxo_de_Caixa_Janeiro345911[[#This Row],[JUNHO]]</f>
        <v>0</v>
      </c>
      <c r="I185" s="357"/>
      <c r="J185" s="306"/>
      <c r="K185" s="306"/>
      <c r="L185" s="306"/>
      <c r="M185" s="306"/>
      <c r="N185" s="306"/>
      <c r="O185" s="225">
        <f>SUM(Fluxo_de_Caixa_Janeiro310208[[#This Row],[Janeiro]:[Dezembro]])</f>
        <v>0</v>
      </c>
      <c r="P185" s="195">
        <f t="shared" si="11"/>
        <v>0</v>
      </c>
      <c r="Q185" s="96">
        <v>0</v>
      </c>
      <c r="R185" s="32"/>
      <c r="T185" s="517">
        <v>0</v>
      </c>
      <c r="U185" s="591">
        <v>0</v>
      </c>
    </row>
    <row r="186" spans="2:21" hidden="1" x14ac:dyDescent="0.25">
      <c r="B186" s="385">
        <f>Fluxo_de_Caixa_Janeiro[[#This Row],[Fluxo de Caixa 2026 CTR]]</f>
        <v>0</v>
      </c>
      <c r="C186" s="357">
        <f>Fluxo_de_Caixa_Janeiro[[#This Row],[Janeiro]]</f>
        <v>0</v>
      </c>
      <c r="D186" s="306">
        <f>Fluxo_de_Caixa_Janeiro3[[#This Row],[Fevereiro]]</f>
        <v>0</v>
      </c>
      <c r="E186" s="306">
        <f>Fluxo_de_Caixa_Janeiro34[[#This Row],[Março]]</f>
        <v>0</v>
      </c>
      <c r="F186" s="306">
        <f>Fluxo_de_Caixa_Janeiro345[[#This Row],[ABRIL]]</f>
        <v>0</v>
      </c>
      <c r="G186" s="306">
        <f>Fluxo_de_Caixa_Janeiro3459[[#This Row],[MAIO]]</f>
        <v>0</v>
      </c>
      <c r="H186" s="306">
        <f>Fluxo_de_Caixa_Janeiro345911[[#This Row],[JUNHO]]</f>
        <v>0</v>
      </c>
      <c r="I186" s="357"/>
      <c r="J186" s="306"/>
      <c r="K186" s="306"/>
      <c r="L186" s="306"/>
      <c r="M186" s="306"/>
      <c r="N186" s="306"/>
      <c r="O186" s="225">
        <f>SUM(Fluxo_de_Caixa_Janeiro310208[[#This Row],[Janeiro]:[Dezembro]])</f>
        <v>0</v>
      </c>
      <c r="P186" s="195">
        <f t="shared" si="11"/>
        <v>0</v>
      </c>
      <c r="Q186" s="96">
        <v>0</v>
      </c>
      <c r="R186" s="32"/>
      <c r="T186" s="517">
        <v>0</v>
      </c>
      <c r="U186" s="591">
        <v>0</v>
      </c>
    </row>
    <row r="187" spans="2:21" x14ac:dyDescent="0.25">
      <c r="B187" s="385" t="str">
        <f>Fluxo_de_Caixa_Janeiro[[#This Row],[Fluxo de Caixa 2026 CTR]]</f>
        <v>3.6.05.MULTA E JUROS DE MORA PAGAMENTO</v>
      </c>
      <c r="C187" s="357">
        <f>Fluxo_de_Caixa_Janeiro[[#This Row],[Janeiro]]</f>
        <v>0</v>
      </c>
      <c r="D187" s="306">
        <f>Fluxo_de_Caixa_Janeiro3[[#This Row],[Fevereiro]]</f>
        <v>0</v>
      </c>
      <c r="E187" s="306">
        <f>Fluxo_de_Caixa_Janeiro34[[#This Row],[Março]]</f>
        <v>0</v>
      </c>
      <c r="F187" s="306">
        <f>Fluxo_de_Caixa_Janeiro345[[#This Row],[ABRIL]]</f>
        <v>0</v>
      </c>
      <c r="G187" s="306">
        <f>Fluxo_de_Caixa_Janeiro3459[[#This Row],[MAIO]]</f>
        <v>0</v>
      </c>
      <c r="H187" s="306">
        <f>Fluxo_de_Caixa_Janeiro345911[[#This Row],[JUNHO]]</f>
        <v>0</v>
      </c>
      <c r="I187" s="357"/>
      <c r="J187" s="306"/>
      <c r="K187" s="306"/>
      <c r="L187" s="306"/>
      <c r="M187" s="306"/>
      <c r="N187" s="306"/>
      <c r="O187" s="225">
        <f>SUM(Fluxo_de_Caixa_Janeiro310208[[#This Row],[Janeiro]:[Dezembro]])</f>
        <v>0</v>
      </c>
      <c r="P187" s="195">
        <f t="shared" si="11"/>
        <v>0</v>
      </c>
      <c r="Q187" s="96">
        <v>1.3967583880234341E-4</v>
      </c>
      <c r="R187" s="32"/>
      <c r="T187" s="517">
        <v>790.56</v>
      </c>
      <c r="U187" s="591">
        <v>1.3967583880234341E-4</v>
      </c>
    </row>
    <row r="188" spans="2:21" hidden="1" x14ac:dyDescent="0.25">
      <c r="B188" s="385">
        <f>Fluxo_de_Caixa_Janeiro[[#This Row],[Fluxo de Caixa 2026 CTR]]</f>
        <v>0</v>
      </c>
      <c r="C188" s="357">
        <f>Fluxo_de_Caixa_Janeiro[[#This Row],[Janeiro]]</f>
        <v>0</v>
      </c>
      <c r="D188" s="306">
        <f>Fluxo_de_Caixa_Janeiro3[[#This Row],[Fevereiro]]</f>
        <v>0</v>
      </c>
      <c r="E188" s="306">
        <f>Fluxo_de_Caixa_Janeiro34[[#This Row],[Março]]</f>
        <v>0</v>
      </c>
      <c r="F188" s="306">
        <f>Fluxo_de_Caixa_Janeiro345[[#This Row],[ABRIL]]</f>
        <v>0</v>
      </c>
      <c r="G188" s="306">
        <f>Fluxo_de_Caixa_Janeiro3459[[#This Row],[MAIO]]</f>
        <v>0</v>
      </c>
      <c r="H188" s="306">
        <f>Fluxo_de_Caixa_Janeiro345911[[#This Row],[JUNHO]]</f>
        <v>0</v>
      </c>
      <c r="I188" s="357"/>
      <c r="J188" s="306"/>
      <c r="K188" s="306"/>
      <c r="L188" s="306"/>
      <c r="M188" s="306"/>
      <c r="N188" s="306"/>
      <c r="O188" s="225">
        <f>SUM(Fluxo_de_Caixa_Janeiro310208[[#This Row],[Janeiro]:[Dezembro]])</f>
        <v>0</v>
      </c>
      <c r="P188" s="195">
        <f t="shared" si="11"/>
        <v>0</v>
      </c>
      <c r="Q188" s="96">
        <v>0</v>
      </c>
      <c r="R188" s="32"/>
      <c r="T188" s="517">
        <v>0</v>
      </c>
      <c r="U188" s="591">
        <v>0</v>
      </c>
    </row>
    <row r="189" spans="2:21" x14ac:dyDescent="0.25">
      <c r="B189" s="385" t="str">
        <f>Fluxo_de_Caixa_Janeiro[[#This Row],[Fluxo de Caixa 2026 CTR]]</f>
        <v>3.6.07.FALTA ACERTO CAIXA</v>
      </c>
      <c r="C189" s="357">
        <f>Fluxo_de_Caixa_Janeiro[[#This Row],[Janeiro]]</f>
        <v>0</v>
      </c>
      <c r="D189" s="306">
        <f>Fluxo_de_Caixa_Janeiro3[[#This Row],[Fevereiro]]</f>
        <v>0</v>
      </c>
      <c r="E189" s="306">
        <f>Fluxo_de_Caixa_Janeiro34[[#This Row],[Março]]</f>
        <v>0</v>
      </c>
      <c r="F189" s="306">
        <f>Fluxo_de_Caixa_Janeiro345[[#This Row],[ABRIL]]</f>
        <v>0</v>
      </c>
      <c r="G189" s="306">
        <f>Fluxo_de_Caixa_Janeiro3459[[#This Row],[MAIO]]</f>
        <v>0</v>
      </c>
      <c r="H189" s="306">
        <f>Fluxo_de_Caixa_Janeiro345911[[#This Row],[JUNHO]]</f>
        <v>0</v>
      </c>
      <c r="I189" s="357"/>
      <c r="J189" s="306"/>
      <c r="K189" s="306"/>
      <c r="L189" s="306"/>
      <c r="M189" s="306"/>
      <c r="N189" s="306"/>
      <c r="O189" s="225">
        <f>SUM(Fluxo_de_Caixa_Janeiro310208[[#This Row],[Janeiro]:[Dezembro]])</f>
        <v>0</v>
      </c>
      <c r="P189" s="195">
        <f t="shared" si="11"/>
        <v>0</v>
      </c>
      <c r="Q189" s="96">
        <v>0</v>
      </c>
      <c r="R189" s="32"/>
      <c r="T189" s="517">
        <v>0</v>
      </c>
      <c r="U189" s="591">
        <v>0</v>
      </c>
    </row>
    <row r="190" spans="2:21" x14ac:dyDescent="0.25">
      <c r="B190" s="385" t="str">
        <f>Fluxo_de_Caixa_Janeiro[[#This Row],[Fluxo de Caixa 2026 CTR]]</f>
        <v>3.6.08. Juros Sobre Emprestimos</v>
      </c>
      <c r="C190" s="357">
        <f>Fluxo_de_Caixa_Janeiro[[#This Row],[Janeiro]]</f>
        <v>21226.400000000001</v>
      </c>
      <c r="D190" s="306">
        <f>Fluxo_de_Caixa_Janeiro3[[#This Row],[Fevereiro]]</f>
        <v>29472.35</v>
      </c>
      <c r="E190" s="306">
        <f>Fluxo_de_Caixa_Janeiro34[[#This Row],[Março]]</f>
        <v>66655.91</v>
      </c>
      <c r="F190" s="306">
        <f>Fluxo_de_Caixa_Janeiro345[[#This Row],[ABRIL]]</f>
        <v>21872.959999999999</v>
      </c>
      <c r="G190" s="306">
        <f>Fluxo_de_Caixa_Janeiro3459[[#This Row],[MAIO]]</f>
        <v>48014.48</v>
      </c>
      <c r="H190" s="306">
        <f>Fluxo_de_Caixa_Janeiro345911[[#This Row],[JUNHO]]</f>
        <v>0</v>
      </c>
      <c r="I190" s="357"/>
      <c r="J190" s="306"/>
      <c r="K190" s="306"/>
      <c r="L190" s="306"/>
      <c r="M190" s="306"/>
      <c r="N190" s="306"/>
      <c r="O190" s="225">
        <f>SUM(Fluxo_de_Caixa_Janeiro310208[[#This Row],[Janeiro]:[Dezembro]])</f>
        <v>187242.1</v>
      </c>
      <c r="P190" s="195">
        <f t="shared" si="11"/>
        <v>4.0402275795572283E-2</v>
      </c>
      <c r="Q190" s="96">
        <v>3.4668321994497757E-3</v>
      </c>
      <c r="R190" s="32"/>
      <c r="T190" s="517">
        <v>19622.14</v>
      </c>
      <c r="U190" s="591">
        <v>3.4668321994497757E-3</v>
      </c>
    </row>
    <row r="191" spans="2:21" x14ac:dyDescent="0.25">
      <c r="B191" s="385" t="str">
        <f>Fluxo_de_Caixa_Janeiro[[#This Row],[Fluxo de Caixa 2026 CTR]]</f>
        <v>3.6.09.RECUPERACAO DE CRED DEVEDOR DUV</v>
      </c>
      <c r="C191" s="357">
        <f>Fluxo_de_Caixa_Janeiro[[#This Row],[Janeiro]]</f>
        <v>0</v>
      </c>
      <c r="D191" s="306">
        <f>Fluxo_de_Caixa_Janeiro3[[#This Row],[Fevereiro]]</f>
        <v>0</v>
      </c>
      <c r="E191" s="306">
        <f>Fluxo_de_Caixa_Janeiro34[[#This Row],[Março]]</f>
        <v>0</v>
      </c>
      <c r="F191" s="306">
        <f>Fluxo_de_Caixa_Janeiro345[[#This Row],[ABRIL]]</f>
        <v>0</v>
      </c>
      <c r="G191" s="306">
        <f>Fluxo_de_Caixa_Janeiro3459[[#This Row],[MAIO]]</f>
        <v>0</v>
      </c>
      <c r="H191" s="306">
        <f>Fluxo_de_Caixa_Janeiro345911[[#This Row],[JUNHO]]</f>
        <v>0</v>
      </c>
      <c r="I191" s="357"/>
      <c r="J191" s="306"/>
      <c r="K191" s="306"/>
      <c r="L191" s="306"/>
      <c r="M191" s="306"/>
      <c r="N191" s="306"/>
      <c r="O191" s="225">
        <f>SUM(Fluxo_de_Caixa_Janeiro310208[[#This Row],[Janeiro]:[Dezembro]])</f>
        <v>0</v>
      </c>
      <c r="P191" s="195">
        <f t="shared" si="11"/>
        <v>0</v>
      </c>
      <c r="Q191" s="96">
        <v>0</v>
      </c>
      <c r="R191" s="32"/>
      <c r="T191" s="517">
        <v>0</v>
      </c>
      <c r="U191" s="591">
        <v>0</v>
      </c>
    </row>
    <row r="192" spans="2:21" x14ac:dyDescent="0.25">
      <c r="B192" s="385" t="str">
        <f>Fluxo_de_Caixa_Janeiro[[#This Row],[Fluxo de Caixa 2026 CTR]]</f>
        <v>3.6.10.DESCONTOS OBTIDOS</v>
      </c>
      <c r="C192" s="357">
        <f>Fluxo_de_Caixa_Janeiro[[#This Row],[Janeiro]]</f>
        <v>0</v>
      </c>
      <c r="D192" s="306">
        <f>Fluxo_de_Caixa_Janeiro3[[#This Row],[Fevereiro]]</f>
        <v>0</v>
      </c>
      <c r="E192" s="306">
        <f>Fluxo_de_Caixa_Janeiro34[[#This Row],[Março]]</f>
        <v>0</v>
      </c>
      <c r="F192" s="306">
        <f>Fluxo_de_Caixa_Janeiro345[[#This Row],[ABRIL]]</f>
        <v>0</v>
      </c>
      <c r="G192" s="306">
        <f>Fluxo_de_Caixa_Janeiro3459[[#This Row],[MAIO]]</f>
        <v>0</v>
      </c>
      <c r="H192" s="306">
        <f>Fluxo_de_Caixa_Janeiro345911[[#This Row],[JUNHO]]</f>
        <v>0</v>
      </c>
      <c r="I192" s="357"/>
      <c r="J192" s="306"/>
      <c r="K192" s="306"/>
      <c r="L192" s="306"/>
      <c r="M192" s="306"/>
      <c r="N192" s="306"/>
      <c r="O192" s="224">
        <f>SUM(Fluxo_de_Caixa_Janeiro310208[[#This Row],[Janeiro]:[Dezembro]])</f>
        <v>0</v>
      </c>
      <c r="P192" s="194">
        <f t="shared" si="11"/>
        <v>0</v>
      </c>
      <c r="Q192" s="75">
        <v>0</v>
      </c>
      <c r="R192" s="32"/>
      <c r="T192" s="517">
        <v>0</v>
      </c>
      <c r="U192" s="591">
        <v>0</v>
      </c>
    </row>
    <row r="193" spans="2:21 16384:16384" hidden="1" x14ac:dyDescent="0.25">
      <c r="B193" s="385">
        <f>Fluxo_de_Caixa_Janeiro[[#This Row],[Fluxo de Caixa 2026 CTR]]</f>
        <v>0</v>
      </c>
      <c r="C193" s="357">
        <f>Fluxo_de_Caixa_Janeiro[[#This Row],[Janeiro]]</f>
        <v>0</v>
      </c>
      <c r="D193" s="306">
        <f>Fluxo_de_Caixa_Janeiro3[[#This Row],[Fevereiro]]</f>
        <v>0</v>
      </c>
      <c r="E193" s="306">
        <f>Fluxo_de_Caixa_Janeiro34[[#This Row],[Março]]</f>
        <v>0</v>
      </c>
      <c r="F193" s="306">
        <f>Fluxo_de_Caixa_Janeiro345[[#This Row],[ABRIL]]</f>
        <v>0</v>
      </c>
      <c r="G193" s="306">
        <f>Fluxo_de_Caixa_Janeiro3459[[#This Row],[MAIO]]</f>
        <v>0</v>
      </c>
      <c r="H193" s="306">
        <f>Fluxo_de_Caixa_Janeiro345911[[#This Row],[JUNHO]]</f>
        <v>0</v>
      </c>
      <c r="I193" s="357"/>
      <c r="J193" s="306"/>
      <c r="K193" s="306"/>
      <c r="L193" s="306"/>
      <c r="M193" s="306"/>
      <c r="N193" s="306"/>
      <c r="O193" s="224">
        <f>SUM(Fluxo_de_Caixa_Janeiro310208[[#This Row],[Janeiro]:[Dezembro]])</f>
        <v>0</v>
      </c>
      <c r="P193" s="194">
        <f t="shared" si="11"/>
        <v>0</v>
      </c>
      <c r="Q193" s="75">
        <v>0</v>
      </c>
      <c r="R193" s="32"/>
      <c r="T193" s="516">
        <v>0</v>
      </c>
      <c r="U193" s="590">
        <v>0</v>
      </c>
    </row>
    <row r="194" spans="2:21 16384:16384" x14ac:dyDescent="0.25">
      <c r="B194" s="169" t="str">
        <f>Fluxo_de_Caixa_Janeiro[[#This Row],[Fluxo de Caixa 2026 CTR]]</f>
        <v>3.6.12.JUROS DESCONTO DE BOLETOS</v>
      </c>
      <c r="C194" s="41">
        <f>Fluxo_de_Caixa_Janeiro[[#This Row],[Janeiro]]</f>
        <v>0</v>
      </c>
      <c r="D194" s="81">
        <f>Fluxo_de_Caixa_Janeiro3[[#This Row],[Fevereiro]]</f>
        <v>0</v>
      </c>
      <c r="E194" s="81">
        <f>Fluxo_de_Caixa_Janeiro34[[#This Row],[Março]]</f>
        <v>0</v>
      </c>
      <c r="F194" s="81">
        <f>Fluxo_de_Caixa_Janeiro345[[#This Row],[ABRIL]]</f>
        <v>0</v>
      </c>
      <c r="G194" s="81">
        <f>Fluxo_de_Caixa_Janeiro3459[[#This Row],[MAIO]]</f>
        <v>0</v>
      </c>
      <c r="H194" s="81">
        <f>Fluxo_de_Caixa_Janeiro345911[[#This Row],[JUNHO]]</f>
        <v>0</v>
      </c>
      <c r="I194" s="41"/>
      <c r="J194" s="81"/>
      <c r="K194" s="81"/>
      <c r="L194" s="81"/>
      <c r="M194" s="81"/>
      <c r="N194" s="118"/>
      <c r="O194" s="223">
        <f>SUM(Fluxo_de_Caixa_Janeiro310208[[#This Row],[Janeiro]:[Dezembro]])</f>
        <v>0</v>
      </c>
      <c r="P194" s="193">
        <f t="shared" si="11"/>
        <v>0</v>
      </c>
      <c r="Q194" s="93">
        <v>0</v>
      </c>
      <c r="R194" s="32" t="str">
        <f>IF(Fluxo_de_Caixa_Janeiro310208[[#This Row],[% ACUMULADO  1º SEMEST 2026]]&lt;=Fluxo_de_Caixa_Janeiro310208[[#This Row],[% ACUMULADO  1º SEMEST 2025]],"VERDADEIRO","FALSO")</f>
        <v>VERDADEIRO</v>
      </c>
      <c r="T194" s="515">
        <v>0</v>
      </c>
      <c r="U194" s="589">
        <v>0</v>
      </c>
    </row>
    <row r="195" spans="2:21 16384:16384" hidden="1" x14ac:dyDescent="0.25">
      <c r="B195" s="55">
        <f>Fluxo_de_Caixa_Janeiro[[#This Row],[Fluxo de Caixa 2026 CTR]]</f>
        <v>0</v>
      </c>
      <c r="C195" s="35">
        <f>Fluxo_de_Caixa_Janeiro[[#This Row],[Janeiro]]</f>
        <v>0</v>
      </c>
      <c r="D195" s="62">
        <f>Fluxo_de_Caixa_Janeiro3[[#This Row],[Fevereiro]]</f>
        <v>0</v>
      </c>
      <c r="E195" s="62">
        <f>Fluxo_de_Caixa_Janeiro34[[#This Row],[Março]]</f>
        <v>0</v>
      </c>
      <c r="F195" s="62">
        <f>Fluxo_de_Caixa_Janeiro345[[#This Row],[ABRIL]]</f>
        <v>0</v>
      </c>
      <c r="G195" s="62">
        <f>Fluxo_de_Caixa_Janeiro3459[[#This Row],[MAIO]]</f>
        <v>0</v>
      </c>
      <c r="H195" s="62">
        <f>Fluxo_de_Caixa_Janeiro345911[[#This Row],[JUNHO]]</f>
        <v>0</v>
      </c>
      <c r="I195" s="35"/>
      <c r="J195" s="62"/>
      <c r="K195" s="62"/>
      <c r="L195" s="62"/>
      <c r="M195" s="62"/>
      <c r="N195" s="119"/>
      <c r="O195" s="224">
        <f>SUM(Fluxo_de_Caixa_Janeiro310208[[#This Row],[Janeiro]:[Dezembro]])</f>
        <v>0</v>
      </c>
      <c r="P195" s="194">
        <f t="shared" si="11"/>
        <v>0</v>
      </c>
      <c r="Q195" s="75">
        <v>0</v>
      </c>
      <c r="R195" s="32" t="str">
        <f>IF(Fluxo_de_Caixa_Janeiro310208[[#This Row],[% ACUMULADO  1º SEMEST 2026]]&lt;=Fluxo_de_Caixa_Janeiro310208[[#This Row],[% ACUMULADO  1º SEMEST 2025]],"VERDADEIRO","FALSO")</f>
        <v>VERDADEIRO</v>
      </c>
      <c r="T195" s="516">
        <v>0</v>
      </c>
      <c r="U195" s="590">
        <v>0</v>
      </c>
    </row>
    <row r="196" spans="2:21 16384:16384" x14ac:dyDescent="0.25">
      <c r="B196" s="55" t="str">
        <f>Fluxo_de_Caixa_Janeiro[[#This Row],[Fluxo de Caixa 2026 CTR]]</f>
        <v>3.6.14. JUROS ANTEC. CARTÕES CRED/DEBITO</v>
      </c>
      <c r="C196" s="35">
        <f>Fluxo_de_Caixa_Janeiro[[#This Row],[Janeiro]]</f>
        <v>0</v>
      </c>
      <c r="D196" s="62">
        <f>Fluxo_de_Caixa_Janeiro3[[#This Row],[Fevereiro]]</f>
        <v>0</v>
      </c>
      <c r="E196" s="62">
        <f>Fluxo_de_Caixa_Janeiro34[[#This Row],[Março]]</f>
        <v>0</v>
      </c>
      <c r="F196" s="62">
        <f>Fluxo_de_Caixa_Janeiro345[[#This Row],[ABRIL]]</f>
        <v>0</v>
      </c>
      <c r="G196" s="62">
        <f>Fluxo_de_Caixa_Janeiro3459[[#This Row],[MAIO]]</f>
        <v>0</v>
      </c>
      <c r="H196" s="62">
        <f>Fluxo_de_Caixa_Janeiro345911[[#This Row],[JUNHO]]</f>
        <v>0</v>
      </c>
      <c r="I196" s="35"/>
      <c r="J196" s="62"/>
      <c r="K196" s="62"/>
      <c r="L196" s="62"/>
      <c r="M196" s="62"/>
      <c r="N196" s="119"/>
      <c r="O196" s="224">
        <f>SUM(Fluxo_de_Caixa_Janeiro310208[[#This Row],[Janeiro]:[Dezembro]])</f>
        <v>0</v>
      </c>
      <c r="P196" s="194">
        <f t="shared" si="11"/>
        <v>0</v>
      </c>
      <c r="Q196" s="75">
        <v>0</v>
      </c>
      <c r="R196" s="32" t="str">
        <f>IF(Fluxo_de_Caixa_Janeiro310208[[#This Row],[% ACUMULADO  1º SEMEST 2026]]&lt;=Fluxo_de_Caixa_Janeiro310208[[#This Row],[% ACUMULADO  1º SEMEST 2025]],"VERDADEIRO","FALSO")</f>
        <v>VERDADEIRO</v>
      </c>
      <c r="T196" s="516">
        <v>0</v>
      </c>
      <c r="U196" s="590">
        <v>0</v>
      </c>
    </row>
    <row r="197" spans="2:21 16384:16384" x14ac:dyDescent="0.25">
      <c r="B197" s="55" t="str">
        <f>Fluxo_de_Caixa_Janeiro[[#This Row],[Fluxo de Caixa 2026 CTR]]</f>
        <v>3.6.15. IRRF Sobre Aplicação Financeira</v>
      </c>
      <c r="C197" s="35">
        <f>Fluxo_de_Caixa_Janeiro[[#This Row],[Janeiro]]</f>
        <v>0</v>
      </c>
      <c r="D197" s="62">
        <f>Fluxo_de_Caixa_Janeiro3[[#This Row],[Fevereiro]]</f>
        <v>0</v>
      </c>
      <c r="E197" s="62">
        <f>Fluxo_de_Caixa_Janeiro34[[#This Row],[Março]]</f>
        <v>0</v>
      </c>
      <c r="F197" s="62">
        <f>Fluxo_de_Caixa_Janeiro345[[#This Row],[ABRIL]]</f>
        <v>0</v>
      </c>
      <c r="G197" s="62">
        <f>Fluxo_de_Caixa_Janeiro3459[[#This Row],[MAIO]]</f>
        <v>0</v>
      </c>
      <c r="H197" s="62">
        <f>Fluxo_de_Caixa_Janeiro345911[[#This Row],[JUNHO]]</f>
        <v>0</v>
      </c>
      <c r="I197" s="35"/>
      <c r="J197" s="62"/>
      <c r="K197" s="62"/>
      <c r="L197" s="62"/>
      <c r="M197" s="62"/>
      <c r="N197" s="119"/>
      <c r="O197" s="224">
        <f>SUM(Fluxo_de_Caixa_Janeiro310208[[#This Row],[Janeiro]:[Dezembro]])</f>
        <v>0</v>
      </c>
      <c r="P197" s="194">
        <f t="shared" si="11"/>
        <v>0</v>
      </c>
      <c r="Q197" s="75">
        <v>0</v>
      </c>
      <c r="R197" s="32" t="str">
        <f>IF(Fluxo_de_Caixa_Janeiro310208[[#This Row],[% ACUMULADO  1º SEMEST 2026]]&lt;=Fluxo_de_Caixa_Janeiro310208[[#This Row],[% ACUMULADO  1º SEMEST 2025]],"VERDADEIRO","FALSO")</f>
        <v>VERDADEIRO</v>
      </c>
      <c r="T197" s="516">
        <v>0</v>
      </c>
      <c r="U197" s="590">
        <v>0</v>
      </c>
    </row>
    <row r="198" spans="2:21 16384:16384" x14ac:dyDescent="0.25">
      <c r="B198" s="55" t="str">
        <f>Fluxo_de_Caixa_Janeiro[[#This Row],[Fluxo de Caixa 2026 CTR]]</f>
        <v>3.6.16.DESCONTOS FINANCEIROS</v>
      </c>
      <c r="C198" s="35">
        <f>Fluxo_de_Caixa_Janeiro[[#This Row],[Janeiro]]</f>
        <v>0</v>
      </c>
      <c r="D198" s="62">
        <f>Fluxo_de_Caixa_Janeiro3[[#This Row],[Fevereiro]]</f>
        <v>0</v>
      </c>
      <c r="E198" s="62">
        <f>Fluxo_de_Caixa_Janeiro34[[#This Row],[Março]]</f>
        <v>0</v>
      </c>
      <c r="F198" s="62">
        <f>Fluxo_de_Caixa_Janeiro345[[#This Row],[ABRIL]]</f>
        <v>0</v>
      </c>
      <c r="G198" s="62">
        <f>Fluxo_de_Caixa_Janeiro3459[[#This Row],[MAIO]]</f>
        <v>0</v>
      </c>
      <c r="H198" s="62">
        <f>Fluxo_de_Caixa_Janeiro345911[[#This Row],[JUNHO]]</f>
        <v>0</v>
      </c>
      <c r="I198" s="35"/>
      <c r="J198" s="62"/>
      <c r="K198" s="62"/>
      <c r="L198" s="62"/>
      <c r="M198" s="62"/>
      <c r="N198" s="119"/>
      <c r="O198" s="224">
        <f>SUM(Fluxo_de_Caixa_Janeiro310208[[#This Row],[Janeiro]:[Dezembro]])</f>
        <v>0</v>
      </c>
      <c r="P198" s="194">
        <f t="shared" si="11"/>
        <v>0</v>
      </c>
      <c r="Q198" s="75">
        <v>0</v>
      </c>
      <c r="R198" s="32" t="str">
        <f>IF(Fluxo_de_Caixa_Janeiro310208[[#This Row],[% ACUMULADO  1º SEMEST 2026]]&lt;=Fluxo_de_Caixa_Janeiro310208[[#This Row],[% ACUMULADO  1º SEMEST 2025]],"VERDADEIRO","FALSO")</f>
        <v>VERDADEIRO</v>
      </c>
      <c r="T198" s="516">
        <v>0</v>
      </c>
      <c r="U198" s="590">
        <v>0</v>
      </c>
    </row>
    <row r="199" spans="2:21 16384:16384" ht="15.75" thickBot="1" x14ac:dyDescent="0.3">
      <c r="B199" s="387" t="str">
        <f>Fluxo_de_Caixa_Janeiro[[#This Row],[Fluxo de Caixa 2026 CTR]]</f>
        <v>3.6.17.JUROS DESCONTO DE BOLETOS</v>
      </c>
      <c r="C199" s="36">
        <f>Fluxo_de_Caixa_Janeiro[[#This Row],[Janeiro]]</f>
        <v>0</v>
      </c>
      <c r="D199" s="82">
        <f>Fluxo_de_Caixa_Janeiro3[[#This Row],[Fevereiro]]</f>
        <v>707.83</v>
      </c>
      <c r="E199" s="82">
        <f>Fluxo_de_Caixa_Janeiro34[[#This Row],[Março]]</f>
        <v>0</v>
      </c>
      <c r="F199" s="82">
        <f>Fluxo_de_Caixa_Janeiro345[[#This Row],[ABRIL]]</f>
        <v>0</v>
      </c>
      <c r="G199" s="82">
        <f>Fluxo_de_Caixa_Janeiro3459[[#This Row],[MAIO]]</f>
        <v>0</v>
      </c>
      <c r="H199" s="82">
        <f>Fluxo_de_Caixa_Janeiro345911[[#This Row],[JUNHO]]</f>
        <v>0</v>
      </c>
      <c r="I199" s="36"/>
      <c r="J199" s="82"/>
      <c r="K199" s="82"/>
      <c r="L199" s="82"/>
      <c r="M199" s="82"/>
      <c r="N199" s="120"/>
      <c r="O199" s="225">
        <f>SUM(Fluxo_de_Caixa_Janeiro310208[[#This Row],[Janeiro]:[Dezembro]])</f>
        <v>707.83</v>
      </c>
      <c r="P199" s="195">
        <f t="shared" si="11"/>
        <v>1.5273244038803202E-4</v>
      </c>
      <c r="Q199" s="96">
        <v>0</v>
      </c>
      <c r="R199" s="32" t="str">
        <f>IF(Fluxo_de_Caixa_Janeiro310208[[#This Row],[% ACUMULADO  1º SEMEST 2026]]&lt;=Fluxo_de_Caixa_Janeiro310208[[#This Row],[% ACUMULADO  1º SEMEST 2025]],"VERDADEIRO","FALSO")</f>
        <v>FALSO</v>
      </c>
      <c r="T199" s="517">
        <v>0</v>
      </c>
      <c r="U199" s="591">
        <v>0</v>
      </c>
    </row>
    <row r="200" spans="2:21 16384:16384" ht="19.5" thickBot="1" x14ac:dyDescent="0.35">
      <c r="B200" s="277" t="str">
        <f>Fluxo_de_Caixa_Janeiro[[#This Row],[Fluxo de Caixa 2026 CTR]]</f>
        <v>3.7. DESPESAS COM VEICULOS</v>
      </c>
      <c r="C200" s="158">
        <f>Fluxo_de_Caixa_Janeiro[[#This Row],[Janeiro]]</f>
        <v>-14367.27</v>
      </c>
      <c r="D200" s="97">
        <f>Fluxo_de_Caixa_Janeiro3[[#This Row],[Fevereiro]]</f>
        <v>-22258.140000000003</v>
      </c>
      <c r="E200" s="97">
        <f>Fluxo_de_Caixa_Janeiro34[[#This Row],[Março]]</f>
        <v>-12551.11</v>
      </c>
      <c r="F200" s="97">
        <f>Fluxo_de_Caixa_Janeiro345[[#This Row],[ABRIL]]</f>
        <v>-12626.79</v>
      </c>
      <c r="G200" s="97">
        <f>Fluxo_de_Caixa_Janeiro3459[[#This Row],[MAIO]]</f>
        <v>-14044.69</v>
      </c>
      <c r="H200" s="97">
        <f>Fluxo_de_Caixa_Janeiro345911[[#This Row],[JUNHO]]</f>
        <v>0</v>
      </c>
      <c r="I200" s="158"/>
      <c r="J200" s="97"/>
      <c r="K200" s="97"/>
      <c r="L200" s="97"/>
      <c r="M200" s="97"/>
      <c r="N200" s="129"/>
      <c r="O200" s="226">
        <f>SUM(Fluxo_de_Caixa_Janeiro310208[[#This Row],[Janeiro]:[Dezembro]])</f>
        <v>-75848</v>
      </c>
      <c r="P200" s="144">
        <f>-IFERROR(O200/$O$27,"0,00")</f>
        <v>1.6366147434484907E-2</v>
      </c>
      <c r="Q200" s="98">
        <v>1.3539068668340964E-2</v>
      </c>
      <c r="R200" s="32" t="str">
        <f>IF(Fluxo_de_Caixa_Janeiro310208[[#This Row],[% ACUMULADO  1º SEMEST 2026]]&lt;=Fluxo_de_Caixa_Janeiro310208[[#This Row],[% ACUMULADO  1º SEMEST 2025]],"VERDADEIRO","FALSO")</f>
        <v>FALSO</v>
      </c>
      <c r="T200" s="518">
        <v>-76630.62</v>
      </c>
      <c r="U200" s="592">
        <v>1.3539068668340964E-2</v>
      </c>
    </row>
    <row r="201" spans="2:21 16384:16384" x14ac:dyDescent="0.25">
      <c r="B201" s="388" t="str">
        <f>Fluxo_de_Caixa_Janeiro[[#This Row],[Fluxo de Caixa 2026 CTR]]</f>
        <v>3.7.01. Combustível e Lubrificantes</v>
      </c>
      <c r="C201" s="41">
        <f>Fluxo_de_Caixa_Janeiro[[#This Row],[Janeiro]]</f>
        <v>6442.2199999999993</v>
      </c>
      <c r="D201" s="81">
        <f>Fluxo_de_Caixa_Janeiro3[[#This Row],[Fevereiro]]</f>
        <v>4432.5600000000004</v>
      </c>
      <c r="E201" s="81">
        <f>Fluxo_de_Caixa_Janeiro34[[#This Row],[Março]]</f>
        <v>3693.75</v>
      </c>
      <c r="F201" s="81">
        <f>Fluxo_de_Caixa_Janeiro345[[#This Row],[ABRIL]]</f>
        <v>3694.4700000000003</v>
      </c>
      <c r="G201" s="81">
        <f>Fluxo_de_Caixa_Janeiro3459[[#This Row],[MAIO]]</f>
        <v>4920.66</v>
      </c>
      <c r="H201" s="81">
        <f>Fluxo_de_Caixa_Janeiro345911[[#This Row],[JUNHO]]</f>
        <v>0</v>
      </c>
      <c r="I201" s="41"/>
      <c r="J201" s="81"/>
      <c r="K201" s="81"/>
      <c r="L201" s="81"/>
      <c r="M201" s="81"/>
      <c r="N201" s="118"/>
      <c r="O201" s="223">
        <f>SUM(Fluxo_de_Caixa_Janeiro310208[[#This Row],[Janeiro]:[Dezembro]])</f>
        <v>23183.66</v>
      </c>
      <c r="P201" s="193">
        <f>IFERROR(O201/$O$27,"0,00%")</f>
        <v>5.0024680628489929E-3</v>
      </c>
      <c r="Q201" s="93">
        <v>4.7981343225983204E-3</v>
      </c>
      <c r="R201" s="32" t="str">
        <f>IF(Fluxo_de_Caixa_Janeiro310208[[#This Row],[% ACUMULADO  1º SEMEST 2026]]&lt;=Fluxo_de_Caixa_Janeiro310208[[#This Row],[% ACUMULADO  1º SEMEST 2025]],"VERDADEIRO","FALSO")</f>
        <v>FALSO</v>
      </c>
      <c r="T201" s="515">
        <v>27157.259999999995</v>
      </c>
      <c r="U201" s="589">
        <v>4.7981343225983204E-3</v>
      </c>
    </row>
    <row r="202" spans="2:21 16384:16384" x14ac:dyDescent="0.25">
      <c r="B202" s="378" t="str">
        <f>Fluxo_de_Caixa_Janeiro[[#This Row],[Fluxo de Caixa 2026 CTR]]</f>
        <v xml:space="preserve">3.7.02. Manutenção Veicular </v>
      </c>
      <c r="C202" s="357">
        <f>Fluxo_de_Caixa_Janeiro[[#This Row],[Janeiro]]</f>
        <v>0</v>
      </c>
      <c r="D202" s="306">
        <f>Fluxo_de_Caixa_Janeiro3[[#This Row],[Fevereiro]]</f>
        <v>212</v>
      </c>
      <c r="E202" s="306">
        <f>Fluxo_de_Caixa_Janeiro34[[#This Row],[Março]]</f>
        <v>120</v>
      </c>
      <c r="F202" s="306">
        <f>Fluxo_de_Caixa_Janeiro345[[#This Row],[ABRIL]]</f>
        <v>70</v>
      </c>
      <c r="G202" s="306">
        <f>Fluxo_de_Caixa_Janeiro3459[[#This Row],[MAIO]]</f>
        <v>250</v>
      </c>
      <c r="H202" s="306">
        <f>Fluxo_de_Caixa_Janeiro345911[[#This Row],[JUNHO]]</f>
        <v>0</v>
      </c>
      <c r="I202" s="357"/>
      <c r="J202" s="306"/>
      <c r="K202" s="306"/>
      <c r="L202" s="306"/>
      <c r="M202" s="306"/>
      <c r="N202" s="360"/>
      <c r="O202" s="223">
        <f>SUM(Fluxo_de_Caixa_Janeiro310208[[#This Row],[Janeiro]:[Dezembro]])</f>
        <v>652</v>
      </c>
      <c r="P202" s="193">
        <f t="shared" ref="P202:P211" si="12">IFERROR(O202/$O$27,"0,00%")</f>
        <v>1.4068568884194918E-4</v>
      </c>
      <c r="Q202" s="93">
        <v>1.086579650670932E-4</v>
      </c>
      <c r="R202" s="32"/>
      <c r="T202" s="515">
        <v>615</v>
      </c>
      <c r="U202" s="589">
        <v>1.086579650670932E-4</v>
      </c>
      <c r="XFD202" s="287"/>
    </row>
    <row r="203" spans="2:21 16384:16384" x14ac:dyDescent="0.25">
      <c r="B203" s="378" t="str">
        <f>Fluxo_de_Caixa_Janeiro[[#This Row],[Fluxo de Caixa 2026 CTR]]</f>
        <v xml:space="preserve">3.7.03. IPVA e outras taxas </v>
      </c>
      <c r="C203" s="369">
        <f>Fluxo_de_Caixa_Janeiro[[#This Row],[Janeiro]]</f>
        <v>0</v>
      </c>
      <c r="D203" s="370">
        <f>Fluxo_de_Caixa_Janeiro3[[#This Row],[Fevereiro]]</f>
        <v>0</v>
      </c>
      <c r="E203" s="370">
        <f>Fluxo_de_Caixa_Janeiro34[[#This Row],[Março]]</f>
        <v>0</v>
      </c>
      <c r="F203" s="370">
        <f>Fluxo_de_Caixa_Janeiro345[[#This Row],[ABRIL]]</f>
        <v>0</v>
      </c>
      <c r="G203" s="370">
        <f>Fluxo_de_Caixa_Janeiro3459[[#This Row],[MAIO]]</f>
        <v>0</v>
      </c>
      <c r="H203" s="370">
        <f>Fluxo_de_Caixa_Janeiro345911[[#This Row],[JUNHO]]</f>
        <v>0</v>
      </c>
      <c r="I203" s="369"/>
      <c r="J203" s="370"/>
      <c r="K203" s="370"/>
      <c r="L203" s="370"/>
      <c r="M203" s="370"/>
      <c r="N203" s="371"/>
      <c r="O203" s="223">
        <f>SUM(Fluxo_de_Caixa_Janeiro310208[[#This Row],[Janeiro]:[Dezembro]])</f>
        <v>0</v>
      </c>
      <c r="P203" s="193">
        <f t="shared" si="12"/>
        <v>0</v>
      </c>
      <c r="Q203" s="93">
        <v>0</v>
      </c>
      <c r="R203" s="32"/>
      <c r="T203" s="515">
        <v>0</v>
      </c>
      <c r="U203" s="589">
        <v>0</v>
      </c>
      <c r="XFD203" s="287"/>
    </row>
    <row r="204" spans="2:21 16384:16384" x14ac:dyDescent="0.25">
      <c r="B204" s="378" t="str">
        <f>Fluxo_de_Caixa_Janeiro[[#This Row],[Fluxo de Caixa 2026 CTR]]</f>
        <v>3.7.04. Multa</v>
      </c>
      <c r="C204" s="369">
        <f>Fluxo_de_Caixa_Janeiro[[#This Row],[Janeiro]]</f>
        <v>0</v>
      </c>
      <c r="D204" s="370">
        <f>Fluxo_de_Caixa_Janeiro3[[#This Row],[Fevereiro]]</f>
        <v>0</v>
      </c>
      <c r="E204" s="370">
        <f>Fluxo_de_Caixa_Janeiro34[[#This Row],[Março]]</f>
        <v>0</v>
      </c>
      <c r="F204" s="370">
        <f>Fluxo_de_Caixa_Janeiro345[[#This Row],[ABRIL]]</f>
        <v>124.96</v>
      </c>
      <c r="G204" s="370">
        <f>Fluxo_de_Caixa_Janeiro3459[[#This Row],[MAIO]]</f>
        <v>136.66999999999999</v>
      </c>
      <c r="H204" s="370">
        <f>Fluxo_de_Caixa_Janeiro345911[[#This Row],[JUNHO]]</f>
        <v>0</v>
      </c>
      <c r="I204" s="369"/>
      <c r="J204" s="370"/>
      <c r="K204" s="370"/>
      <c r="L204" s="370"/>
      <c r="M204" s="370"/>
      <c r="N204" s="371"/>
      <c r="O204" s="223">
        <f>SUM(Fluxo_de_Caixa_Janeiro310208[[#This Row],[Janeiro]:[Dezembro]])</f>
        <v>261.63</v>
      </c>
      <c r="P204" s="193">
        <f t="shared" si="12"/>
        <v>5.6453369281777849E-5</v>
      </c>
      <c r="Q204" s="93">
        <v>0</v>
      </c>
      <c r="R204" s="32"/>
      <c r="T204" s="515">
        <v>0</v>
      </c>
      <c r="U204" s="589">
        <v>0</v>
      </c>
    </row>
    <row r="205" spans="2:21 16384:16384" x14ac:dyDescent="0.25">
      <c r="B205" s="378" t="str">
        <f>Fluxo_de_Caixa_Janeiro[[#This Row],[Fluxo de Caixa 2026 CTR]]</f>
        <v>3.7.05. Despesas com Estacionamento</v>
      </c>
      <c r="C205" s="369">
        <f>Fluxo_de_Caixa_Janeiro[[#This Row],[Janeiro]]</f>
        <v>0</v>
      </c>
      <c r="D205" s="370">
        <f>Fluxo_de_Caixa_Janeiro3[[#This Row],[Fevereiro]]</f>
        <v>0</v>
      </c>
      <c r="E205" s="370">
        <f>Fluxo_de_Caixa_Janeiro34[[#This Row],[Março]]</f>
        <v>0</v>
      </c>
      <c r="F205" s="370">
        <f>Fluxo_de_Caixa_Janeiro345[[#This Row],[ABRIL]]</f>
        <v>0</v>
      </c>
      <c r="G205" s="370">
        <f>Fluxo_de_Caixa_Janeiro3459[[#This Row],[MAIO]]</f>
        <v>0</v>
      </c>
      <c r="H205" s="370">
        <f>Fluxo_de_Caixa_Janeiro345911[[#This Row],[JUNHO]]</f>
        <v>0</v>
      </c>
      <c r="I205" s="369"/>
      <c r="J205" s="370"/>
      <c r="K205" s="370"/>
      <c r="L205" s="370"/>
      <c r="M205" s="370"/>
      <c r="N205" s="371"/>
      <c r="O205" s="223">
        <f>SUM(Fluxo_de_Caixa_Janeiro310208[[#This Row],[Janeiro]:[Dezembro]])</f>
        <v>0</v>
      </c>
      <c r="P205" s="193">
        <f t="shared" si="12"/>
        <v>0</v>
      </c>
      <c r="Q205" s="93">
        <v>0</v>
      </c>
      <c r="R205" s="32"/>
      <c r="T205" s="515">
        <v>0</v>
      </c>
      <c r="U205" s="589">
        <v>0</v>
      </c>
    </row>
    <row r="206" spans="2:21 16384:16384" x14ac:dyDescent="0.25">
      <c r="B206" s="378" t="str">
        <f>Fluxo_de_Caixa_Janeiro[[#This Row],[Fluxo de Caixa 2026 CTR]]</f>
        <v>3.7.06. Aluguel de Veículo</v>
      </c>
      <c r="C206" s="369">
        <f>Fluxo_de_Caixa_Janeiro[[#This Row],[Janeiro]]</f>
        <v>7805.05</v>
      </c>
      <c r="D206" s="370">
        <f>Fluxo_de_Caixa_Janeiro3[[#This Row],[Fevereiro]]</f>
        <v>17493.580000000002</v>
      </c>
      <c r="E206" s="370">
        <f>Fluxo_de_Caixa_Janeiro34[[#This Row],[Março]]</f>
        <v>8617.36</v>
      </c>
      <c r="F206" s="370">
        <f>Fluxo_de_Caixa_Janeiro345[[#This Row],[ABRIL]]</f>
        <v>8617.36</v>
      </c>
      <c r="G206" s="370">
        <f>Fluxo_de_Caixa_Janeiro3459[[#This Row],[MAIO]]</f>
        <v>8617.36</v>
      </c>
      <c r="H206" s="370">
        <f>Fluxo_de_Caixa_Janeiro345911[[#This Row],[JUNHO]]</f>
        <v>0</v>
      </c>
      <c r="I206" s="369"/>
      <c r="J206" s="370"/>
      <c r="K206" s="370"/>
      <c r="L206" s="370"/>
      <c r="M206" s="370"/>
      <c r="N206" s="371"/>
      <c r="O206" s="223">
        <f>SUM(Fluxo_de_Caixa_Janeiro310208[[#This Row],[Janeiro]:[Dezembro]])</f>
        <v>51150.710000000006</v>
      </c>
      <c r="P206" s="193">
        <f t="shared" si="12"/>
        <v>1.1037074955682175E-2</v>
      </c>
      <c r="Q206" s="93">
        <v>8.5050670557189536E-3</v>
      </c>
      <c r="R206" s="32"/>
      <c r="T206" s="515">
        <v>48138.36</v>
      </c>
      <c r="U206" s="589">
        <v>8.5050670557189536E-3</v>
      </c>
    </row>
    <row r="207" spans="2:21 16384:16384" x14ac:dyDescent="0.25">
      <c r="B207" s="378" t="str">
        <f>Fluxo_de_Caixa_Janeiro[[#This Row],[Fluxo de Caixa 2026 CTR]]</f>
        <v>3.7.07.RASTREAMENTO POR GPS</v>
      </c>
      <c r="C207" s="366">
        <f>Fluxo_de_Caixa_Janeiro[[#This Row],[Janeiro]]</f>
        <v>120</v>
      </c>
      <c r="D207" s="367">
        <f>Fluxo_de_Caixa_Janeiro3[[#This Row],[Fevereiro]]</f>
        <v>120</v>
      </c>
      <c r="E207" s="367">
        <f>Fluxo_de_Caixa_Janeiro34[[#This Row],[Março]]</f>
        <v>120</v>
      </c>
      <c r="F207" s="367">
        <f>Fluxo_de_Caixa_Janeiro345[[#This Row],[ABRIL]]</f>
        <v>120</v>
      </c>
      <c r="G207" s="367">
        <f>Fluxo_de_Caixa_Janeiro3459[[#This Row],[MAIO]]</f>
        <v>120</v>
      </c>
      <c r="H207" s="367">
        <f>Fluxo_de_Caixa_Janeiro345911[[#This Row],[JUNHO]]</f>
        <v>0</v>
      </c>
      <c r="I207" s="366"/>
      <c r="J207" s="367"/>
      <c r="K207" s="367"/>
      <c r="L207" s="367"/>
      <c r="M207" s="367"/>
      <c r="N207" s="368"/>
      <c r="O207" s="223">
        <f>SUM(Fluxo_de_Caixa_Janeiro310208[[#This Row],[Janeiro]:[Dezembro]])</f>
        <v>600</v>
      </c>
      <c r="P207" s="193">
        <f t="shared" si="12"/>
        <v>1.2946535783001456E-4</v>
      </c>
      <c r="Q207" s="93">
        <v>1.272093249565969E-4</v>
      </c>
      <c r="R207" s="32"/>
      <c r="T207" s="515">
        <v>720</v>
      </c>
      <c r="U207" s="589">
        <v>1.272093249565969E-4</v>
      </c>
    </row>
    <row r="208" spans="2:21 16384:16384" x14ac:dyDescent="0.25">
      <c r="B208" s="378" t="str">
        <f>Fluxo_de_Caixa_Janeiro[[#This Row],[Fluxo de Caixa 2026 CTR]]</f>
        <v>3.7.08. Seguro Veicular</v>
      </c>
      <c r="C208" s="357">
        <f>Fluxo_de_Caixa_Janeiro[[#This Row],[Janeiro]]</f>
        <v>0</v>
      </c>
      <c r="D208" s="306">
        <f>Fluxo_de_Caixa_Janeiro3[[#This Row],[Fevereiro]]</f>
        <v>0</v>
      </c>
      <c r="E208" s="306">
        <f>Fluxo_de_Caixa_Janeiro34[[#This Row],[Março]]</f>
        <v>0</v>
      </c>
      <c r="F208" s="306">
        <f>Fluxo_de_Caixa_Janeiro345[[#This Row],[ABRIL]]</f>
        <v>0</v>
      </c>
      <c r="G208" s="306">
        <f>Fluxo_de_Caixa_Janeiro3459[[#This Row],[MAIO]]</f>
        <v>0</v>
      </c>
      <c r="H208" s="306">
        <f>Fluxo_de_Caixa_Janeiro345911[[#This Row],[JUNHO]]</f>
        <v>0</v>
      </c>
      <c r="I208" s="357"/>
      <c r="J208" s="306"/>
      <c r="K208" s="306"/>
      <c r="L208" s="306"/>
      <c r="M208" s="306"/>
      <c r="N208" s="360"/>
      <c r="O208" s="223">
        <f>SUM(Fluxo_de_Caixa_Janeiro310208[[#This Row],[Janeiro]:[Dezembro]])</f>
        <v>0</v>
      </c>
      <c r="P208" s="193">
        <f t="shared" si="12"/>
        <v>0</v>
      </c>
      <c r="Q208" s="93">
        <v>0</v>
      </c>
      <c r="R208" s="32"/>
      <c r="T208" s="515">
        <v>0</v>
      </c>
      <c r="U208" s="589">
        <v>0</v>
      </c>
    </row>
    <row r="209" spans="2:21" ht="15.75" thickBot="1" x14ac:dyDescent="0.3">
      <c r="B209" s="378" t="str">
        <f>Fluxo_de_Caixa_Janeiro[[#This Row],[Fluxo de Caixa 2026 CTR]]</f>
        <v>3.7.09.PEDAGIO E TRAVESSIA DE BALSA</v>
      </c>
      <c r="C209" s="369">
        <f>Fluxo_de_Caixa_Janeiro[[#This Row],[Janeiro]]</f>
        <v>0</v>
      </c>
      <c r="D209" s="370">
        <f>Fluxo_de_Caixa_Janeiro3[[#This Row],[Fevereiro]]</f>
        <v>0</v>
      </c>
      <c r="E209" s="370">
        <f>Fluxo_de_Caixa_Janeiro34[[#This Row],[Março]]</f>
        <v>0</v>
      </c>
      <c r="F209" s="370">
        <f>Fluxo_de_Caixa_Janeiro345[[#This Row],[ABRIL]]</f>
        <v>0</v>
      </c>
      <c r="G209" s="370">
        <f>Fluxo_de_Caixa_Janeiro3459[[#This Row],[MAIO]]</f>
        <v>0</v>
      </c>
      <c r="H209" s="370">
        <f>Fluxo_de_Caixa_Janeiro345911[[#This Row],[JUNHO]]</f>
        <v>0</v>
      </c>
      <c r="I209" s="369"/>
      <c r="J209" s="370"/>
      <c r="K209" s="370"/>
      <c r="L209" s="370"/>
      <c r="M209" s="370"/>
      <c r="N209" s="371"/>
      <c r="O209" s="223">
        <f>SUM(Fluxo_de_Caixa_Janeiro310208[[#This Row],[Janeiro]:[Dezembro]])</f>
        <v>0</v>
      </c>
      <c r="P209" s="193">
        <f t="shared" si="12"/>
        <v>0</v>
      </c>
      <c r="Q209" s="93">
        <v>0</v>
      </c>
      <c r="R209" s="32"/>
      <c r="T209" s="515">
        <v>0</v>
      </c>
      <c r="U209" s="589">
        <v>0</v>
      </c>
    </row>
    <row r="210" spans="2:21" hidden="1" x14ac:dyDescent="0.25">
      <c r="B210" s="378">
        <f>Fluxo_de_Caixa_Janeiro[[#This Row],[Fluxo de Caixa 2026 CTR]]</f>
        <v>0</v>
      </c>
      <c r="C210" s="369">
        <f>Fluxo_de_Caixa_Janeiro[[#This Row],[Janeiro]]</f>
        <v>0</v>
      </c>
      <c r="D210" s="370">
        <f>Fluxo_de_Caixa_Janeiro3[[#This Row],[Fevereiro]]</f>
        <v>0</v>
      </c>
      <c r="E210" s="370">
        <f>Fluxo_de_Caixa_Janeiro34[[#This Row],[Março]]</f>
        <v>0</v>
      </c>
      <c r="F210" s="370">
        <f>Fluxo_de_Caixa_Janeiro345[[#This Row],[ABRIL]]</f>
        <v>0</v>
      </c>
      <c r="G210" s="370">
        <f>Fluxo_de_Caixa_Janeiro3459[[#This Row],[MAIO]]</f>
        <v>0</v>
      </c>
      <c r="H210" s="370">
        <f>Fluxo_de_Caixa_Janeiro345911[[#This Row],[JUNHO]]</f>
        <v>0</v>
      </c>
      <c r="I210" s="369"/>
      <c r="J210" s="370"/>
      <c r="K210" s="370"/>
      <c r="L210" s="370"/>
      <c r="M210" s="370"/>
      <c r="N210" s="371"/>
      <c r="O210" s="223">
        <f>SUM(Fluxo_de_Caixa_Janeiro310208[[#This Row],[Janeiro]:[Dezembro]])</f>
        <v>0</v>
      </c>
      <c r="P210" s="193">
        <f t="shared" si="12"/>
        <v>0</v>
      </c>
      <c r="Q210" s="93">
        <v>0</v>
      </c>
      <c r="R210" s="32"/>
      <c r="T210" s="515">
        <v>0</v>
      </c>
      <c r="U210" s="589">
        <v>0</v>
      </c>
    </row>
    <row r="211" spans="2:21" ht="15.75" hidden="1" thickBot="1" x14ac:dyDescent="0.3">
      <c r="B211" s="389">
        <f>Fluxo_de_Caixa_Janeiro[[#This Row],[Fluxo de Caixa 2026 CTR]]</f>
        <v>0</v>
      </c>
      <c r="C211" s="366">
        <f>Fluxo_de_Caixa_Janeiro[[#This Row],[Janeiro]]</f>
        <v>0</v>
      </c>
      <c r="D211" s="367">
        <f>Fluxo_de_Caixa_Janeiro3[[#This Row],[Fevereiro]]</f>
        <v>0</v>
      </c>
      <c r="E211" s="367">
        <f>Fluxo_de_Caixa_Janeiro34[[#This Row],[Março]]</f>
        <v>0</v>
      </c>
      <c r="F211" s="367">
        <f>Fluxo_de_Caixa_Janeiro345[[#This Row],[ABRIL]]</f>
        <v>0</v>
      </c>
      <c r="G211" s="367">
        <f>Fluxo_de_Caixa_Janeiro3459[[#This Row],[MAIO]]</f>
        <v>0</v>
      </c>
      <c r="H211" s="367">
        <f>Fluxo_de_Caixa_Janeiro345911[[#This Row],[JUNHO]]</f>
        <v>0</v>
      </c>
      <c r="I211" s="366"/>
      <c r="J211" s="367"/>
      <c r="K211" s="367"/>
      <c r="L211" s="367"/>
      <c r="M211" s="367"/>
      <c r="N211" s="368"/>
      <c r="O211" s="223">
        <f>SUM(Fluxo_de_Caixa_Janeiro310208[[#This Row],[Janeiro]:[Dezembro]])</f>
        <v>0</v>
      </c>
      <c r="P211" s="193">
        <f t="shared" si="12"/>
        <v>0</v>
      </c>
      <c r="Q211" s="93">
        <v>0</v>
      </c>
      <c r="R211" s="32"/>
      <c r="T211" s="515">
        <v>0</v>
      </c>
      <c r="U211" s="589">
        <v>0</v>
      </c>
    </row>
    <row r="212" spans="2:21" ht="19.5" thickBot="1" x14ac:dyDescent="0.35">
      <c r="B212" s="277" t="str">
        <f>Fluxo_de_Caixa_Janeiro[[#This Row],[Fluxo de Caixa 2026 CTR]]</f>
        <v>3.8. IMPOSTOS ADMINISTRATIVOS</v>
      </c>
      <c r="C212" s="158">
        <f>Fluxo_de_Caixa_Janeiro[[#This Row],[Janeiro]]</f>
        <v>-29.17</v>
      </c>
      <c r="D212" s="97">
        <f>Fluxo_de_Caixa_Janeiro3[[#This Row],[Fevereiro]]</f>
        <v>-386.46000000000004</v>
      </c>
      <c r="E212" s="97">
        <f>Fluxo_de_Caixa_Janeiro34[[#This Row],[Março]]</f>
        <v>0</v>
      </c>
      <c r="F212" s="97">
        <f>Fluxo_de_Caixa_Janeiro345[[#This Row],[ABRIL]]</f>
        <v>0</v>
      </c>
      <c r="G212" s="97">
        <f>Fluxo_de_Caixa_Janeiro3459[[#This Row],[MAIO]]</f>
        <v>0</v>
      </c>
      <c r="H212" s="97">
        <f>Fluxo_de_Caixa_Janeiro345911[[#This Row],[JUNHO]]</f>
        <v>0</v>
      </c>
      <c r="I212" s="158"/>
      <c r="J212" s="97"/>
      <c r="K212" s="97"/>
      <c r="L212" s="97"/>
      <c r="M212" s="97"/>
      <c r="N212" s="129"/>
      <c r="O212" s="226">
        <f>SUM(Fluxo_de_Caixa_Janeiro310208[[#This Row],[Janeiro]:[Dezembro]])</f>
        <v>-415.63000000000005</v>
      </c>
      <c r="P212" s="144">
        <f>-IFERROR(O212/$O$27,"0,00")</f>
        <v>8.9682811124814938E-5</v>
      </c>
      <c r="Q212" s="98">
        <v>4.8505622324422387E-4</v>
      </c>
      <c r="R212" s="32"/>
      <c r="T212" s="518">
        <v>-2745.4</v>
      </c>
      <c r="U212" s="592">
        <v>4.8505622324422387E-4</v>
      </c>
    </row>
    <row r="213" spans="2:21" hidden="1" x14ac:dyDescent="0.25">
      <c r="B213" s="390">
        <f>Fluxo_de_Caixa_Janeiro[[#This Row],[Fluxo de Caixa 2026 CTR]]</f>
        <v>0</v>
      </c>
      <c r="C213" s="369">
        <f>Fluxo_de_Caixa_Janeiro[[#This Row],[Janeiro]]</f>
        <v>0</v>
      </c>
      <c r="D213" s="370">
        <f>Fluxo_de_Caixa_Janeiro3[[#This Row],[Fevereiro]]</f>
        <v>0</v>
      </c>
      <c r="E213" s="370">
        <f>Fluxo_de_Caixa_Janeiro34[[#This Row],[Março]]</f>
        <v>0</v>
      </c>
      <c r="F213" s="370">
        <f>Fluxo_de_Caixa_Janeiro345[[#This Row],[ABRIL]]</f>
        <v>0</v>
      </c>
      <c r="G213" s="370">
        <f>Fluxo_de_Caixa_Janeiro3459[[#This Row],[MAIO]]</f>
        <v>0</v>
      </c>
      <c r="H213" s="370">
        <f>Fluxo_de_Caixa_Janeiro345911[[#This Row],[JUNHO]]</f>
        <v>0</v>
      </c>
      <c r="I213" s="369"/>
      <c r="J213" s="370"/>
      <c r="K213" s="370"/>
      <c r="L213" s="370"/>
      <c r="M213" s="370"/>
      <c r="N213" s="371"/>
      <c r="O213" s="396">
        <f>SUM(Fluxo_de_Caixa_Janeiro310208[[#This Row],[Janeiro]:[Dezembro]])</f>
        <v>0</v>
      </c>
      <c r="P213" s="398"/>
      <c r="Q213" s="399"/>
      <c r="R213" s="32"/>
      <c r="T213" s="519">
        <v>0</v>
      </c>
      <c r="U213" s="593"/>
    </row>
    <row r="214" spans="2:21" hidden="1" x14ac:dyDescent="0.25">
      <c r="B214" s="378">
        <f>Fluxo_de_Caixa_Janeiro[[#This Row],[Fluxo de Caixa 2026 CTR]]</f>
        <v>0</v>
      </c>
      <c r="C214" s="357">
        <f>Fluxo_de_Caixa_Janeiro[[#This Row],[Janeiro]]</f>
        <v>0</v>
      </c>
      <c r="D214" s="306">
        <f>Fluxo_de_Caixa_Janeiro3[[#This Row],[Fevereiro]]</f>
        <v>0</v>
      </c>
      <c r="E214" s="306">
        <f>Fluxo_de_Caixa_Janeiro34[[#This Row],[Março]]</f>
        <v>0</v>
      </c>
      <c r="F214" s="306">
        <f>Fluxo_de_Caixa_Janeiro345[[#This Row],[ABRIL]]</f>
        <v>0</v>
      </c>
      <c r="G214" s="306">
        <f>Fluxo_de_Caixa_Janeiro3459[[#This Row],[MAIO]]</f>
        <v>0</v>
      </c>
      <c r="H214" s="306">
        <f>Fluxo_de_Caixa_Janeiro345911[[#This Row],[JUNHO]]</f>
        <v>0</v>
      </c>
      <c r="I214" s="357"/>
      <c r="J214" s="306"/>
      <c r="K214" s="306"/>
      <c r="L214" s="306"/>
      <c r="M214" s="306"/>
      <c r="N214" s="306"/>
      <c r="O214" s="396">
        <f>SUM(Fluxo_de_Caixa_Janeiro310208[[#This Row],[Janeiro]:[Dezembro]])</f>
        <v>0</v>
      </c>
      <c r="P214" s="398"/>
      <c r="Q214" s="399"/>
      <c r="R214" s="32"/>
      <c r="T214" s="519">
        <v>0</v>
      </c>
      <c r="U214" s="593"/>
    </row>
    <row r="215" spans="2:21" x14ac:dyDescent="0.25">
      <c r="B215" s="378" t="str">
        <f>Fluxo_de_Caixa_Janeiro[[#This Row],[Fluxo de Caixa 2026 CTR]]</f>
        <v xml:space="preserve">3.8.03.ICMS-DIFERENCIAL DE ALIQUOTA </v>
      </c>
      <c r="C215" s="357">
        <f>Fluxo_de_Caixa_Janeiro[[#This Row],[Janeiro]]</f>
        <v>29.17</v>
      </c>
      <c r="D215" s="306">
        <f>Fluxo_de_Caixa_Janeiro3[[#This Row],[Fevereiro]]</f>
        <v>297.67</v>
      </c>
      <c r="E215" s="306">
        <f>Fluxo_de_Caixa_Janeiro34[[#This Row],[Março]]</f>
        <v>0</v>
      </c>
      <c r="F215" s="306">
        <f>Fluxo_de_Caixa_Janeiro345[[#This Row],[ABRIL]]</f>
        <v>0</v>
      </c>
      <c r="G215" s="306">
        <f>Fluxo_de_Caixa_Janeiro3459[[#This Row],[MAIO]]</f>
        <v>0</v>
      </c>
      <c r="H215" s="306">
        <f>Fluxo_de_Caixa_Janeiro345911[[#This Row],[JUNHO]]</f>
        <v>0</v>
      </c>
      <c r="I215" s="357"/>
      <c r="J215" s="306"/>
      <c r="K215" s="306"/>
      <c r="L215" s="306"/>
      <c r="M215" s="306"/>
      <c r="N215" s="306"/>
      <c r="O215" s="396">
        <f>SUM(Fluxo_de_Caixa_Janeiro310208[[#This Row],[Janeiro]:[Dezembro]])</f>
        <v>326.84000000000003</v>
      </c>
      <c r="P215" s="193">
        <f>IFERROR(O215/$O$27,"0,00%")</f>
        <v>7.0524095921936604E-5</v>
      </c>
      <c r="Q215" s="399">
        <v>2.3293617516114855E-4</v>
      </c>
      <c r="R215" s="32"/>
      <c r="T215" s="519">
        <v>1318.41</v>
      </c>
      <c r="U215" s="589">
        <v>2.3293617516114855E-4</v>
      </c>
    </row>
    <row r="216" spans="2:21" hidden="1" x14ac:dyDescent="0.25">
      <c r="B216" s="378">
        <f>Fluxo_de_Caixa_Janeiro[[#This Row],[Fluxo de Caixa 2026 CTR]]</f>
        <v>0</v>
      </c>
      <c r="C216" s="357">
        <f>Fluxo_de_Caixa_Janeiro[[#This Row],[Janeiro]]</f>
        <v>0</v>
      </c>
      <c r="D216" s="306">
        <f>Fluxo_de_Caixa_Janeiro3[[#This Row],[Fevereiro]]</f>
        <v>0</v>
      </c>
      <c r="E216" s="306">
        <f>Fluxo_de_Caixa_Janeiro34[[#This Row],[Março]]</f>
        <v>0</v>
      </c>
      <c r="F216" s="306">
        <f>Fluxo_de_Caixa_Janeiro345[[#This Row],[ABRIL]]</f>
        <v>0</v>
      </c>
      <c r="G216" s="306">
        <f>Fluxo_de_Caixa_Janeiro3459[[#This Row],[MAIO]]</f>
        <v>0</v>
      </c>
      <c r="H216" s="306">
        <f>Fluxo_de_Caixa_Janeiro345911[[#This Row],[JUNHO]]</f>
        <v>0</v>
      </c>
      <c r="I216" s="357"/>
      <c r="J216" s="306"/>
      <c r="K216" s="306"/>
      <c r="L216" s="306"/>
      <c r="M216" s="306"/>
      <c r="N216" s="306"/>
      <c r="O216" s="396">
        <f>SUM(Fluxo_de_Caixa_Janeiro310208[[#This Row],[Janeiro]:[Dezembro]])</f>
        <v>0</v>
      </c>
      <c r="P216" s="193">
        <f t="shared" ref="P216:P228" si="13">IFERROR(O216/$O$27,"0,00%")</f>
        <v>0</v>
      </c>
      <c r="Q216" s="399">
        <v>0</v>
      </c>
      <c r="R216" s="32"/>
      <c r="T216" s="519">
        <v>0</v>
      </c>
      <c r="U216" s="589">
        <v>0</v>
      </c>
    </row>
    <row r="217" spans="2:21" x14ac:dyDescent="0.25">
      <c r="B217" s="378" t="str">
        <f>Fluxo_de_Caixa_Janeiro[[#This Row],[Fluxo de Caixa 2026 CTR]]</f>
        <v>3.8.05. IR</v>
      </c>
      <c r="C217" s="357">
        <f>Fluxo_de_Caixa_Janeiro[[#This Row],[Janeiro]]</f>
        <v>0</v>
      </c>
      <c r="D217" s="306">
        <f>Fluxo_de_Caixa_Janeiro3[[#This Row],[Fevereiro]]</f>
        <v>88.79</v>
      </c>
      <c r="E217" s="306">
        <f>Fluxo_de_Caixa_Janeiro34[[#This Row],[Março]]</f>
        <v>0</v>
      </c>
      <c r="F217" s="306">
        <f>Fluxo_de_Caixa_Janeiro345[[#This Row],[ABRIL]]</f>
        <v>0</v>
      </c>
      <c r="G217" s="306">
        <f>Fluxo_de_Caixa_Janeiro3459[[#This Row],[MAIO]]</f>
        <v>0</v>
      </c>
      <c r="H217" s="306">
        <f>Fluxo_de_Caixa_Janeiro345911[[#This Row],[JUNHO]]</f>
        <v>0</v>
      </c>
      <c r="I217" s="357"/>
      <c r="J217" s="306"/>
      <c r="K217" s="306"/>
      <c r="L217" s="306"/>
      <c r="M217" s="306"/>
      <c r="N217" s="306"/>
      <c r="O217" s="396">
        <f>SUM(Fluxo_de_Caixa_Janeiro310208[[#This Row],[Janeiro]:[Dezembro]])</f>
        <v>88.79</v>
      </c>
      <c r="P217" s="193">
        <f t="shared" si="13"/>
        <v>1.9158715202878324E-5</v>
      </c>
      <c r="Q217" s="399">
        <v>0</v>
      </c>
      <c r="R217" s="32"/>
      <c r="T217" s="519">
        <v>0</v>
      </c>
      <c r="U217" s="589">
        <v>0</v>
      </c>
    </row>
    <row r="218" spans="2:21" x14ac:dyDescent="0.25">
      <c r="B218" s="378" t="str">
        <f>Fluxo_de_Caixa_Janeiro[[#This Row],[Fluxo de Caixa 2026 CTR]]</f>
        <v>3.8.06. CSLL</v>
      </c>
      <c r="C218" s="357">
        <f>Fluxo_de_Caixa_Janeiro[[#This Row],[Janeiro]]</f>
        <v>0</v>
      </c>
      <c r="D218" s="306">
        <f>Fluxo_de_Caixa_Janeiro3[[#This Row],[Fevereiro]]</f>
        <v>0</v>
      </c>
      <c r="E218" s="306">
        <f>Fluxo_de_Caixa_Janeiro34[[#This Row],[Março]]</f>
        <v>0</v>
      </c>
      <c r="F218" s="306">
        <f>Fluxo_de_Caixa_Janeiro345[[#This Row],[ABRIL]]</f>
        <v>0</v>
      </c>
      <c r="G218" s="306">
        <f>Fluxo_de_Caixa_Janeiro3459[[#This Row],[MAIO]]</f>
        <v>0</v>
      </c>
      <c r="H218" s="306">
        <f>Fluxo_de_Caixa_Janeiro345911[[#This Row],[JUNHO]]</f>
        <v>0</v>
      </c>
      <c r="I218" s="357"/>
      <c r="J218" s="306"/>
      <c r="K218" s="306"/>
      <c r="L218" s="306"/>
      <c r="M218" s="306"/>
      <c r="N218" s="306"/>
      <c r="O218" s="396">
        <f>SUM(Fluxo_de_Caixa_Janeiro310208[[#This Row],[Janeiro]:[Dezembro]])</f>
        <v>0</v>
      </c>
      <c r="P218" s="193">
        <f t="shared" si="13"/>
        <v>0</v>
      </c>
      <c r="Q218" s="399">
        <v>0</v>
      </c>
      <c r="R218" s="32"/>
      <c r="T218" s="519">
        <v>0</v>
      </c>
      <c r="U218" s="589">
        <v>0</v>
      </c>
    </row>
    <row r="219" spans="2:21" x14ac:dyDescent="0.25">
      <c r="B219" s="378" t="str">
        <f>Fluxo_de_Caixa_Janeiro[[#This Row],[Fluxo de Caixa 2026 CTR]]</f>
        <v>3.8.07. IPTU</v>
      </c>
      <c r="C219" s="357">
        <f>Fluxo_de_Caixa_Janeiro[[#This Row],[Janeiro]]</f>
        <v>0</v>
      </c>
      <c r="D219" s="306">
        <f>Fluxo_de_Caixa_Janeiro3[[#This Row],[Fevereiro]]</f>
        <v>0</v>
      </c>
      <c r="E219" s="306">
        <f>Fluxo_de_Caixa_Janeiro34[[#This Row],[Março]]</f>
        <v>0</v>
      </c>
      <c r="F219" s="306">
        <f>Fluxo_de_Caixa_Janeiro345[[#This Row],[ABRIL]]</f>
        <v>0</v>
      </c>
      <c r="G219" s="306">
        <f>Fluxo_de_Caixa_Janeiro3459[[#This Row],[MAIO]]</f>
        <v>0</v>
      </c>
      <c r="H219" s="306">
        <f>Fluxo_de_Caixa_Janeiro345911[[#This Row],[JUNHO]]</f>
        <v>0</v>
      </c>
      <c r="I219" s="357"/>
      <c r="J219" s="306"/>
      <c r="K219" s="306"/>
      <c r="L219" s="306"/>
      <c r="M219" s="306"/>
      <c r="N219" s="306"/>
      <c r="O219" s="396">
        <f>SUM(Fluxo_de_Caixa_Janeiro310208[[#This Row],[Janeiro]:[Dezembro]])</f>
        <v>0</v>
      </c>
      <c r="P219" s="193">
        <f t="shared" si="13"/>
        <v>0</v>
      </c>
      <c r="Q219" s="399">
        <v>2.335686881935716E-4</v>
      </c>
      <c r="R219" s="32"/>
      <c r="T219" s="519">
        <v>1321.99</v>
      </c>
      <c r="U219" s="589">
        <v>2.335686881935716E-4</v>
      </c>
    </row>
    <row r="220" spans="2:21" x14ac:dyDescent="0.25">
      <c r="B220" s="378" t="str">
        <f>Fluxo_de_Caixa_Janeiro[[#This Row],[Fluxo de Caixa 2026 CTR]]</f>
        <v>3.8.08.OUTROS TRIBUTOS MUNICIPAIS</v>
      </c>
      <c r="C220" s="357">
        <f>Fluxo_de_Caixa_Janeiro[[#This Row],[Janeiro]]</f>
        <v>0</v>
      </c>
      <c r="D220" s="306">
        <f>Fluxo_de_Caixa_Janeiro3[[#This Row],[Fevereiro]]</f>
        <v>0</v>
      </c>
      <c r="E220" s="306">
        <f>Fluxo_de_Caixa_Janeiro34[[#This Row],[Março]]</f>
        <v>0</v>
      </c>
      <c r="F220" s="306">
        <f>Fluxo_de_Caixa_Janeiro345[[#This Row],[ABRIL]]</f>
        <v>0</v>
      </c>
      <c r="G220" s="306">
        <f>Fluxo_de_Caixa_Janeiro3459[[#This Row],[MAIO]]</f>
        <v>0</v>
      </c>
      <c r="H220" s="306">
        <f>Fluxo_de_Caixa_Janeiro345911[[#This Row],[JUNHO]]</f>
        <v>0</v>
      </c>
      <c r="I220" s="357"/>
      <c r="J220" s="306"/>
      <c r="K220" s="306"/>
      <c r="L220" s="306"/>
      <c r="M220" s="306"/>
      <c r="N220" s="306"/>
      <c r="O220" s="396">
        <f>SUM(Fluxo_de_Caixa_Janeiro310208[[#This Row],[Janeiro]:[Dezembro]])</f>
        <v>0</v>
      </c>
      <c r="P220" s="193">
        <f>IFERROR(O220/$O$27,"0,00%")</f>
        <v>0</v>
      </c>
      <c r="Q220" s="399">
        <v>0</v>
      </c>
      <c r="R220" s="32"/>
      <c r="T220" s="519">
        <v>0</v>
      </c>
      <c r="U220" s="589">
        <v>0</v>
      </c>
    </row>
    <row r="221" spans="2:21" x14ac:dyDescent="0.25">
      <c r="B221" s="378" t="str">
        <f>Fluxo_de_Caixa_Janeiro[[#This Row],[Fluxo de Caixa 2026 CTR]]</f>
        <v>3.8.09.OUTROS TRIBUTOS ESTADUAIS</v>
      </c>
      <c r="C221" s="357">
        <f>Fluxo_de_Caixa_Janeiro[[#This Row],[Janeiro]]</f>
        <v>0</v>
      </c>
      <c r="D221" s="306">
        <f>Fluxo_de_Caixa_Janeiro3[[#This Row],[Fevereiro]]</f>
        <v>0</v>
      </c>
      <c r="E221" s="306">
        <f>Fluxo_de_Caixa_Janeiro34[[#This Row],[Março]]</f>
        <v>0</v>
      </c>
      <c r="F221" s="306">
        <f>Fluxo_de_Caixa_Janeiro345[[#This Row],[ABRIL]]</f>
        <v>0</v>
      </c>
      <c r="G221" s="306">
        <f>Fluxo_de_Caixa_Janeiro3459[[#This Row],[MAIO]]</f>
        <v>0</v>
      </c>
      <c r="H221" s="306">
        <f>Fluxo_de_Caixa_Janeiro345911[[#This Row],[JUNHO]]</f>
        <v>0</v>
      </c>
      <c r="I221" s="357"/>
      <c r="J221" s="306"/>
      <c r="K221" s="306"/>
      <c r="L221" s="306"/>
      <c r="M221" s="306"/>
      <c r="N221" s="306"/>
      <c r="O221" s="396">
        <f>SUM(Fluxo_de_Caixa_Janeiro310208[[#This Row],[Janeiro]:[Dezembro]])</f>
        <v>0</v>
      </c>
      <c r="P221" s="193">
        <f t="shared" si="13"/>
        <v>0</v>
      </c>
      <c r="Q221" s="399">
        <v>1.8551359889503716E-5</v>
      </c>
      <c r="R221" s="32"/>
      <c r="T221" s="519">
        <v>105</v>
      </c>
      <c r="U221" s="589">
        <v>1.8551359889503716E-5</v>
      </c>
    </row>
    <row r="222" spans="2:21" x14ac:dyDescent="0.25">
      <c r="B222" s="378" t="str">
        <f>Fluxo_de_Caixa_Janeiro[[#This Row],[Fluxo de Caixa 2026 CTR]]</f>
        <v>3.8.10.OUTROS TRIBUTOS FEDERAIS</v>
      </c>
      <c r="C222" s="357">
        <f>Fluxo_de_Caixa_Janeiro[[#This Row],[Janeiro]]</f>
        <v>0</v>
      </c>
      <c r="D222" s="306">
        <f>Fluxo_de_Caixa_Janeiro3[[#This Row],[Fevereiro]]</f>
        <v>0</v>
      </c>
      <c r="E222" s="306">
        <f>Fluxo_de_Caixa_Janeiro34[[#This Row],[Março]]</f>
        <v>0</v>
      </c>
      <c r="F222" s="306">
        <f>Fluxo_de_Caixa_Janeiro345[[#This Row],[ABRIL]]</f>
        <v>0</v>
      </c>
      <c r="G222" s="306">
        <f>Fluxo_de_Caixa_Janeiro3459[[#This Row],[MAIO]]</f>
        <v>0</v>
      </c>
      <c r="H222" s="306">
        <f>Fluxo_de_Caixa_Janeiro345911[[#This Row],[JUNHO]]</f>
        <v>0</v>
      </c>
      <c r="I222" s="357"/>
      <c r="J222" s="306"/>
      <c r="K222" s="306"/>
      <c r="L222" s="306"/>
      <c r="M222" s="306"/>
      <c r="N222" s="306"/>
      <c r="O222" s="396">
        <f>SUM(Fluxo_de_Caixa_Janeiro310208[[#This Row],[Janeiro]:[Dezembro]])</f>
        <v>0</v>
      </c>
      <c r="P222" s="193">
        <f t="shared" si="13"/>
        <v>0</v>
      </c>
      <c r="Q222" s="399">
        <v>0</v>
      </c>
      <c r="R222" s="32"/>
      <c r="T222" s="519">
        <v>0</v>
      </c>
      <c r="U222" s="589">
        <v>0</v>
      </c>
    </row>
    <row r="223" spans="2:21" x14ac:dyDescent="0.25">
      <c r="B223" s="378" t="str">
        <f>Fluxo_de_Caixa_Janeiro[[#This Row],[Fluxo de Caixa 2026 CTR]]</f>
        <v>3.8.11. IRRF S/ SERVIÇO DE TERCEIRO</v>
      </c>
      <c r="C223" s="357">
        <f>Fluxo_de_Caixa_Janeiro[[#This Row],[Janeiro]]</f>
        <v>0</v>
      </c>
      <c r="D223" s="306">
        <f>Fluxo_de_Caixa_Janeiro3[[#This Row],[Fevereiro]]</f>
        <v>0</v>
      </c>
      <c r="E223" s="306">
        <f>Fluxo_de_Caixa_Janeiro34[[#This Row],[Março]]</f>
        <v>0</v>
      </c>
      <c r="F223" s="306">
        <f>Fluxo_de_Caixa_Janeiro345[[#This Row],[ABRIL]]</f>
        <v>0</v>
      </c>
      <c r="G223" s="306">
        <f>Fluxo_de_Caixa_Janeiro3459[[#This Row],[MAIO]]</f>
        <v>0</v>
      </c>
      <c r="H223" s="306">
        <f>Fluxo_de_Caixa_Janeiro345911[[#This Row],[JUNHO]]</f>
        <v>0</v>
      </c>
      <c r="I223" s="357"/>
      <c r="J223" s="306"/>
      <c r="K223" s="306"/>
      <c r="L223" s="306"/>
      <c r="M223" s="306"/>
      <c r="N223" s="306"/>
      <c r="O223" s="396">
        <f>SUM(Fluxo_de_Caixa_Janeiro310208[[#This Row],[Janeiro]:[Dezembro]])</f>
        <v>0</v>
      </c>
      <c r="P223" s="193">
        <f t="shared" si="13"/>
        <v>0</v>
      </c>
      <c r="Q223" s="399">
        <v>0</v>
      </c>
      <c r="R223" s="32"/>
      <c r="T223" s="519">
        <v>0</v>
      </c>
      <c r="U223" s="589">
        <v>0</v>
      </c>
    </row>
    <row r="224" spans="2:21" x14ac:dyDescent="0.25">
      <c r="B224" s="378" t="str">
        <f>Fluxo_de_Caixa_Janeiro[[#This Row],[Fluxo de Caixa 2026 CTR]]</f>
        <v>3.8.12.MULTA S/ INFRACOES FISCAIS</v>
      </c>
      <c r="C224" s="357">
        <f>Fluxo_de_Caixa_Janeiro[[#This Row],[Janeiro]]</f>
        <v>0</v>
      </c>
      <c r="D224" s="306">
        <f>Fluxo_de_Caixa_Janeiro3[[#This Row],[Fevereiro]]</f>
        <v>0</v>
      </c>
      <c r="E224" s="306">
        <f>Fluxo_de_Caixa_Janeiro34[[#This Row],[Março]]</f>
        <v>0</v>
      </c>
      <c r="F224" s="306">
        <f>Fluxo_de_Caixa_Janeiro345[[#This Row],[ABRIL]]</f>
        <v>0</v>
      </c>
      <c r="G224" s="306">
        <f>Fluxo_de_Caixa_Janeiro3459[[#This Row],[MAIO]]</f>
        <v>0</v>
      </c>
      <c r="H224" s="306">
        <f>Fluxo_de_Caixa_Janeiro345911[[#This Row],[JUNHO]]</f>
        <v>0</v>
      </c>
      <c r="I224" s="357"/>
      <c r="J224" s="306"/>
      <c r="K224" s="306"/>
      <c r="L224" s="306"/>
      <c r="M224" s="306"/>
      <c r="N224" s="306"/>
      <c r="O224" s="396">
        <f>SUM(Fluxo_de_Caixa_Janeiro310208[[#This Row],[Janeiro]:[Dezembro]])</f>
        <v>0</v>
      </c>
      <c r="P224" s="193">
        <f t="shared" si="13"/>
        <v>0</v>
      </c>
      <c r="Q224" s="399">
        <v>0</v>
      </c>
      <c r="R224" s="32"/>
      <c r="T224" s="519">
        <v>0</v>
      </c>
      <c r="U224" s="589">
        <v>0</v>
      </c>
    </row>
    <row r="225" spans="2:26" x14ac:dyDescent="0.25">
      <c r="B225" s="378" t="str">
        <f>Fluxo_de_Caixa_Janeiro[[#This Row],[Fluxo de Caixa 2026 CTR]]</f>
        <v>3.8.13.MULTA ATRASO PAGTO TRIBUTOS</v>
      </c>
      <c r="C225" s="357">
        <f>Fluxo_de_Caixa_Janeiro[[#This Row],[Janeiro]]</f>
        <v>0</v>
      </c>
      <c r="D225" s="306">
        <f>Fluxo_de_Caixa_Janeiro3[[#This Row],[Fevereiro]]</f>
        <v>0</v>
      </c>
      <c r="E225" s="306">
        <f>Fluxo_de_Caixa_Janeiro34[[#This Row],[Março]]</f>
        <v>0</v>
      </c>
      <c r="F225" s="306">
        <f>Fluxo_de_Caixa_Janeiro345[[#This Row],[ABRIL]]</f>
        <v>0</v>
      </c>
      <c r="G225" s="306">
        <f>Fluxo_de_Caixa_Janeiro3459[[#This Row],[MAIO]]</f>
        <v>0</v>
      </c>
      <c r="H225" s="306">
        <f>Fluxo_de_Caixa_Janeiro345911[[#This Row],[JUNHO]]</f>
        <v>0</v>
      </c>
      <c r="I225" s="357"/>
      <c r="J225" s="306"/>
      <c r="K225" s="306"/>
      <c r="L225" s="306"/>
      <c r="M225" s="306"/>
      <c r="N225" s="306"/>
      <c r="O225" s="396">
        <f>SUM(Fluxo_de_Caixa_Janeiro310208[[#This Row],[Janeiro]:[Dezembro]])</f>
        <v>0</v>
      </c>
      <c r="P225" s="193">
        <f t="shared" si="13"/>
        <v>0</v>
      </c>
      <c r="Q225" s="399">
        <v>0</v>
      </c>
      <c r="R225" s="32"/>
      <c r="T225" s="519">
        <v>0</v>
      </c>
      <c r="U225" s="589">
        <v>0</v>
      </c>
    </row>
    <row r="226" spans="2:26" hidden="1" x14ac:dyDescent="0.25">
      <c r="B226" s="378">
        <f>Fluxo_de_Caixa_Janeiro[[#This Row],[Fluxo de Caixa 2026 CTR]]</f>
        <v>0</v>
      </c>
      <c r="C226" s="357">
        <f>Fluxo_de_Caixa_Janeiro[[#This Row],[Janeiro]]</f>
        <v>0</v>
      </c>
      <c r="D226" s="306">
        <f>Fluxo_de_Caixa_Janeiro3[[#This Row],[Fevereiro]]</f>
        <v>0</v>
      </c>
      <c r="E226" s="306">
        <f>Fluxo_de_Caixa_Janeiro34[[#This Row],[Março]]</f>
        <v>0</v>
      </c>
      <c r="F226" s="306">
        <f>Fluxo_de_Caixa_Janeiro345[[#This Row],[ABRIL]]</f>
        <v>0</v>
      </c>
      <c r="G226" s="306">
        <f>Fluxo_de_Caixa_Janeiro3459[[#This Row],[MAIO]]</f>
        <v>0</v>
      </c>
      <c r="H226" s="306">
        <f>Fluxo_de_Caixa_Janeiro345911[[#This Row],[JUNHO]]</f>
        <v>0</v>
      </c>
      <c r="I226" s="357"/>
      <c r="J226" s="306"/>
      <c r="K226" s="306"/>
      <c r="L226" s="306"/>
      <c r="M226" s="306"/>
      <c r="N226" s="306"/>
      <c r="O226" s="396">
        <f>SUM(Fluxo_de_Caixa_Janeiro310208[[#This Row],[Janeiro]:[Dezembro]])</f>
        <v>0</v>
      </c>
      <c r="P226" s="193">
        <f t="shared" si="13"/>
        <v>0</v>
      </c>
      <c r="Q226" s="399">
        <v>0</v>
      </c>
      <c r="R226" s="32"/>
      <c r="T226" s="519">
        <v>0</v>
      </c>
      <c r="U226" s="589">
        <v>0</v>
      </c>
    </row>
    <row r="227" spans="2:26" hidden="1" x14ac:dyDescent="0.25">
      <c r="B227" s="378">
        <f>Fluxo_de_Caixa_Janeiro[[#This Row],[Fluxo de Caixa 2026 CTR]]</f>
        <v>0</v>
      </c>
      <c r="C227" s="357">
        <f>Fluxo_de_Caixa_Janeiro[[#This Row],[Janeiro]]</f>
        <v>0</v>
      </c>
      <c r="D227" s="306">
        <f>Fluxo_de_Caixa_Janeiro3[[#This Row],[Fevereiro]]</f>
        <v>0</v>
      </c>
      <c r="E227" s="306">
        <f>Fluxo_de_Caixa_Janeiro34[[#This Row],[Março]]</f>
        <v>0</v>
      </c>
      <c r="F227" s="306">
        <f>Fluxo_de_Caixa_Janeiro345[[#This Row],[ABRIL]]</f>
        <v>0</v>
      </c>
      <c r="G227" s="306">
        <f>Fluxo_de_Caixa_Janeiro3459[[#This Row],[MAIO]]</f>
        <v>0</v>
      </c>
      <c r="H227" s="306">
        <f>Fluxo_de_Caixa_Janeiro345911[[#This Row],[JUNHO]]</f>
        <v>0</v>
      </c>
      <c r="I227" s="357"/>
      <c r="J227" s="306"/>
      <c r="K227" s="306"/>
      <c r="L227" s="306"/>
      <c r="M227" s="306"/>
      <c r="N227" s="306"/>
      <c r="O227" s="396">
        <f>SUM(Fluxo_de_Caixa_Janeiro310208[[#This Row],[Janeiro]:[Dezembro]])</f>
        <v>0</v>
      </c>
      <c r="P227" s="193">
        <f t="shared" si="13"/>
        <v>0</v>
      </c>
      <c r="Q227" s="399">
        <v>0</v>
      </c>
      <c r="R227" s="32"/>
      <c r="T227" s="519">
        <v>0</v>
      </c>
      <c r="U227" s="589">
        <v>0</v>
      </c>
    </row>
    <row r="228" spans="2:26" ht="15.75" thickBot="1" x14ac:dyDescent="0.3">
      <c r="B228" s="378" t="str">
        <f>Fluxo_de_Caixa_Janeiro[[#This Row],[Fluxo de Caixa 2026 CTR]]</f>
        <v>3.8.16. CRF Sobre Serviço</v>
      </c>
      <c r="C228" s="357">
        <f>Fluxo_de_Caixa_Janeiro[[#This Row],[Janeiro]]</f>
        <v>0</v>
      </c>
      <c r="D228" s="306">
        <f>Fluxo_de_Caixa_Janeiro3[[#This Row],[Fevereiro]]</f>
        <v>0</v>
      </c>
      <c r="E228" s="306">
        <f>Fluxo_de_Caixa_Janeiro34[[#This Row],[Março]]</f>
        <v>0</v>
      </c>
      <c r="F228" s="306">
        <f>Fluxo_de_Caixa_Janeiro345[[#This Row],[ABRIL]]</f>
        <v>0</v>
      </c>
      <c r="G228" s="306">
        <f>Fluxo_de_Caixa_Janeiro3459[[#This Row],[MAIO]]</f>
        <v>0</v>
      </c>
      <c r="H228" s="306">
        <f>Fluxo_de_Caixa_Janeiro345911[[#This Row],[JUNHO]]</f>
        <v>0</v>
      </c>
      <c r="I228" s="357"/>
      <c r="J228" s="306"/>
      <c r="K228" s="306"/>
      <c r="L228" s="306"/>
      <c r="M228" s="306"/>
      <c r="N228" s="306"/>
      <c r="O228" s="396">
        <f>SUM(Fluxo_de_Caixa_Janeiro310208[[#This Row],[Janeiro]:[Dezembro]])</f>
        <v>0</v>
      </c>
      <c r="P228" s="193">
        <f t="shared" si="13"/>
        <v>0</v>
      </c>
      <c r="Q228" s="399">
        <v>0</v>
      </c>
      <c r="R228" s="32"/>
      <c r="T228" s="519">
        <v>0</v>
      </c>
      <c r="U228" s="589">
        <v>0</v>
      </c>
    </row>
    <row r="229" spans="2:26" hidden="1" x14ac:dyDescent="0.25">
      <c r="B229" s="378">
        <f>Fluxo_de_Caixa_Janeiro[[#This Row],[Fluxo de Caixa 2026 CTR]]</f>
        <v>0</v>
      </c>
      <c r="C229" s="357">
        <f>Fluxo_de_Caixa_Janeiro[[#This Row],[Janeiro]]</f>
        <v>0</v>
      </c>
      <c r="D229" s="306">
        <f>Fluxo_de_Caixa_Janeiro3[[#This Row],[Fevereiro]]</f>
        <v>0</v>
      </c>
      <c r="E229" s="306">
        <f>Fluxo_de_Caixa_Janeiro34[[#This Row],[Março]]</f>
        <v>0</v>
      </c>
      <c r="F229" s="306">
        <f>Fluxo_de_Caixa_Janeiro345[[#This Row],[ABRIL]]</f>
        <v>0</v>
      </c>
      <c r="G229" s="306">
        <f>Fluxo_de_Caixa_Janeiro3459[[#This Row],[MAIO]]</f>
        <v>0</v>
      </c>
      <c r="H229" s="306">
        <f>Fluxo_de_Caixa_Janeiro345911[[#This Row],[JUNHO]]</f>
        <v>0</v>
      </c>
      <c r="I229" s="357"/>
      <c r="J229" s="306"/>
      <c r="K229" s="306"/>
      <c r="L229" s="306"/>
      <c r="M229" s="306"/>
      <c r="N229" s="306"/>
      <c r="O229" s="396">
        <f>SUM(Fluxo_de_Caixa_Janeiro310208[[#This Row],[Janeiro]:[Dezembro]])</f>
        <v>0</v>
      </c>
      <c r="P229" s="398"/>
      <c r="Q229" s="399"/>
      <c r="R229" s="32"/>
      <c r="T229" s="519">
        <v>0</v>
      </c>
      <c r="U229" s="593"/>
    </row>
    <row r="230" spans="2:26" ht="15.75" hidden="1" thickBot="1" x14ac:dyDescent="0.3">
      <c r="B230" s="389">
        <f>Fluxo_de_Caixa_Janeiro[[#This Row],[Fluxo de Caixa 2026 CTR]]</f>
        <v>0</v>
      </c>
      <c r="C230" s="366">
        <f>Fluxo_de_Caixa_Janeiro[[#This Row],[Janeiro]]</f>
        <v>0</v>
      </c>
      <c r="D230" s="367">
        <f>Fluxo_de_Caixa_Janeiro3[[#This Row],[Fevereiro]]</f>
        <v>0</v>
      </c>
      <c r="E230" s="367">
        <f>Fluxo_de_Caixa_Janeiro34[[#This Row],[Março]]</f>
        <v>0</v>
      </c>
      <c r="F230" s="367">
        <f>Fluxo_de_Caixa_Janeiro345[[#This Row],[ABRIL]]</f>
        <v>0</v>
      </c>
      <c r="G230" s="367">
        <f>Fluxo_de_Caixa_Janeiro3459[[#This Row],[MAIO]]</f>
        <v>0</v>
      </c>
      <c r="H230" s="367">
        <f>Fluxo_de_Caixa_Janeiro345911[[#This Row],[JUNHO]]</f>
        <v>0</v>
      </c>
      <c r="I230" s="366"/>
      <c r="J230" s="367"/>
      <c r="K230" s="367"/>
      <c r="L230" s="367"/>
      <c r="M230" s="367"/>
      <c r="N230" s="368"/>
      <c r="O230" s="400">
        <f>SUM(Fluxo_de_Caixa_Janeiro310208[[#This Row],[Janeiro]:[Dezembro]])</f>
        <v>0</v>
      </c>
      <c r="P230" s="401"/>
      <c r="Q230" s="402"/>
      <c r="R230" s="32"/>
      <c r="T230" s="520">
        <v>0</v>
      </c>
      <c r="U230" s="594"/>
    </row>
    <row r="231" spans="2:26" ht="19.5" thickBot="1" x14ac:dyDescent="0.35">
      <c r="B231" s="277" t="str">
        <f>Fluxo_de_Caixa_Janeiro[[#This Row],[Fluxo de Caixa 2026 CTR]]</f>
        <v>3.9. PATROCINIO / BONIFICAÇÃO</v>
      </c>
      <c r="C231" s="158">
        <f>Fluxo_de_Caixa_Janeiro[[#This Row],[Janeiro]]</f>
        <v>-219.15</v>
      </c>
      <c r="D231" s="97">
        <f>Fluxo_de_Caixa_Janeiro3[[#This Row],[Fevereiro]]</f>
        <v>0</v>
      </c>
      <c r="E231" s="97">
        <f>Fluxo_de_Caixa_Janeiro34[[#This Row],[Março]]</f>
        <v>0</v>
      </c>
      <c r="F231" s="97">
        <f>Fluxo_de_Caixa_Janeiro345[[#This Row],[ABRIL]]</f>
        <v>-300</v>
      </c>
      <c r="G231" s="97">
        <f>Fluxo_de_Caixa_Janeiro3459[[#This Row],[MAIO]]</f>
        <v>0</v>
      </c>
      <c r="H231" s="97">
        <f>Fluxo_de_Caixa_Janeiro345911[[#This Row],[JUNHO]]</f>
        <v>0</v>
      </c>
      <c r="I231" s="158"/>
      <c r="J231" s="97"/>
      <c r="K231" s="97"/>
      <c r="L231" s="97"/>
      <c r="M231" s="97"/>
      <c r="N231" s="129"/>
      <c r="O231" s="226">
        <f>SUM(Fluxo_de_Caixa_Janeiro310208[[#This Row],[Janeiro]:[Dezembro]])</f>
        <v>-519.15</v>
      </c>
      <c r="P231" s="144">
        <f>-IFERROR(O231/$O$27,"0,00")</f>
        <v>1.120199008624201E-4</v>
      </c>
      <c r="Q231" s="98">
        <v>1.1438874515638791E-3</v>
      </c>
      <c r="R231" s="32"/>
      <c r="T231" s="518">
        <v>-6474.3600000000006</v>
      </c>
      <c r="U231" s="592">
        <v>1.1438874515638791E-3</v>
      </c>
    </row>
    <row r="232" spans="2:26" x14ac:dyDescent="0.25">
      <c r="B232" s="378" t="str">
        <f>Fluxo_de_Caixa_Janeiro[[#This Row],[Fluxo de Caixa 2026 CTR]]</f>
        <v>3.9.01.PATROCÍNIO  EM DINHEIRO</v>
      </c>
      <c r="C232" s="366">
        <f>Fluxo_de_Caixa_Janeiro[[#This Row],[Janeiro]]</f>
        <v>0</v>
      </c>
      <c r="D232" s="367">
        <f>Fluxo_de_Caixa_Janeiro3[[#This Row],[Fevereiro]]</f>
        <v>0</v>
      </c>
      <c r="E232" s="367">
        <f>Fluxo_de_Caixa_Janeiro34[[#This Row],[Março]]</f>
        <v>0</v>
      </c>
      <c r="F232" s="367">
        <f>Fluxo_de_Caixa_Janeiro345[[#This Row],[ABRIL]]</f>
        <v>300</v>
      </c>
      <c r="G232" s="367">
        <f>Fluxo_de_Caixa_Janeiro3459[[#This Row],[MAIO]]</f>
        <v>0</v>
      </c>
      <c r="H232" s="367">
        <f>Fluxo_de_Caixa_Janeiro345911[[#This Row],[JUNHO]]</f>
        <v>0</v>
      </c>
      <c r="I232" s="366"/>
      <c r="J232" s="367"/>
      <c r="K232" s="367"/>
      <c r="L232" s="367"/>
      <c r="M232" s="367"/>
      <c r="N232" s="368"/>
      <c r="O232" s="224">
        <f>SUM(Fluxo_de_Caixa_Janeiro310208[[#This Row],[Janeiro]:[Dezembro]])</f>
        <v>300</v>
      </c>
      <c r="P232" s="194">
        <f>IFERROR(O232/$O$27,"0,00%")</f>
        <v>6.4732678915007278E-5</v>
      </c>
      <c r="Q232" s="75">
        <v>9.7173789897400426E-4</v>
      </c>
      <c r="R232" s="32"/>
      <c r="T232" s="516">
        <v>5500</v>
      </c>
      <c r="U232" s="590">
        <v>9.7173789897400426E-4</v>
      </c>
    </row>
    <row r="233" spans="2:26" ht="15.75" thickBot="1" x14ac:dyDescent="0.3">
      <c r="B233" s="55" t="str">
        <f>Fluxo_de_Caixa_Janeiro[[#This Row],[Fluxo de Caixa 2026 CTR]]</f>
        <v>3.9.02.BONIFICAÇÃO EM PRODUTOS</v>
      </c>
      <c r="C233" s="35">
        <f>Fluxo_de_Caixa_Janeiro[[#This Row],[Janeiro]]</f>
        <v>219.15</v>
      </c>
      <c r="D233" s="62">
        <f>Fluxo_de_Caixa_Janeiro3[[#This Row],[Fevereiro]]</f>
        <v>0</v>
      </c>
      <c r="E233" s="62">
        <f>Fluxo_de_Caixa_Janeiro34[[#This Row],[Março]]</f>
        <v>0</v>
      </c>
      <c r="F233" s="62">
        <f>Fluxo_de_Caixa_Janeiro345[[#This Row],[ABRIL]]</f>
        <v>0</v>
      </c>
      <c r="G233" s="62">
        <f>Fluxo_de_Caixa_Janeiro3459[[#This Row],[MAIO]]</f>
        <v>0</v>
      </c>
      <c r="H233" s="62">
        <f>Fluxo_de_Caixa_Janeiro345911[[#This Row],[JUNHO]]</f>
        <v>0</v>
      </c>
      <c r="I233" s="35"/>
      <c r="J233" s="62"/>
      <c r="K233" s="62"/>
      <c r="L233" s="62"/>
      <c r="M233" s="62"/>
      <c r="N233" s="119"/>
      <c r="O233" s="224">
        <f>SUM(Fluxo_de_Caixa_Janeiro310208[[#This Row],[Janeiro]:[Dezembro]])</f>
        <v>219.15</v>
      </c>
      <c r="P233" s="194">
        <f>IFERROR(O233/$O$27,"0,00%")</f>
        <v>4.7287221947412824E-5</v>
      </c>
      <c r="Q233" s="75">
        <v>1.7214955258987468E-4</v>
      </c>
      <c r="R233" s="32" t="str">
        <f>IF(Fluxo_de_Caixa_Janeiro310208[[#This Row],[% ACUMULADO  1º SEMEST 2026]]&lt;=Fluxo_de_Caixa_Janeiro310208[[#This Row],[% ACUMULADO  1º SEMEST 2025]],"VERDADEIRO","FALSO")</f>
        <v>VERDADEIRO</v>
      </c>
      <c r="T233" s="516">
        <v>974.36</v>
      </c>
      <c r="U233" s="590">
        <v>1.7214955258987468E-4</v>
      </c>
    </row>
    <row r="234" spans="2:26" ht="15.75" hidden="1" customHeight="1" x14ac:dyDescent="0.25">
      <c r="B234" s="55">
        <f>Fluxo_de_Caixa_Janeiro[[#This Row],[Fluxo de Caixa 2026 CTR]]</f>
        <v>0</v>
      </c>
      <c r="C234" s="35">
        <f>Fluxo_de_Caixa_Janeiro[[#This Row],[Janeiro]]</f>
        <v>0</v>
      </c>
      <c r="D234" s="62">
        <f>Fluxo_de_Caixa_Janeiro3[[#This Row],[Fevereiro]]</f>
        <v>0</v>
      </c>
      <c r="E234" s="62">
        <f>Fluxo_de_Caixa_Janeiro34[[#This Row],[Março]]</f>
        <v>0</v>
      </c>
      <c r="F234" s="62">
        <f>Fluxo_de_Caixa_Janeiro345[[#This Row],[ABRIL]]</f>
        <v>0</v>
      </c>
      <c r="G234" s="62">
        <f>Fluxo_de_Caixa_Janeiro3459[[#This Row],[MAIO]]</f>
        <v>0</v>
      </c>
      <c r="H234" s="62">
        <f>Fluxo_de_Caixa_Janeiro345911[[#This Row],[JUNHO]]</f>
        <v>0</v>
      </c>
      <c r="I234" s="35"/>
      <c r="J234" s="62"/>
      <c r="K234" s="62"/>
      <c r="L234" s="62"/>
      <c r="M234" s="62"/>
      <c r="N234" s="119"/>
      <c r="O234" s="224">
        <f>SUM(Fluxo_de_Caixa_Janeiro310208[[#This Row],[Janeiro]:[Dezembro]])</f>
        <v>0</v>
      </c>
      <c r="P234" s="194">
        <f>IFERROR(O234/$O$27,"0,00%")</f>
        <v>0</v>
      </c>
      <c r="Q234" s="75">
        <v>0</v>
      </c>
      <c r="R234" s="32" t="str">
        <f>IF(Fluxo_de_Caixa_Janeiro310208[[#This Row],[% ACUMULADO  1º SEMEST 2026]]&lt;=Fluxo_de_Caixa_Janeiro310208[[#This Row],[% ACUMULADO  1º SEMEST 2025]],"VERDADEIRO","FALSO")</f>
        <v>VERDADEIRO</v>
      </c>
      <c r="T234" s="516">
        <v>0</v>
      </c>
      <c r="U234" s="590">
        <v>0</v>
      </c>
    </row>
    <row r="235" spans="2:26" ht="15.75" hidden="1" thickBot="1" x14ac:dyDescent="0.3">
      <c r="B235" s="276">
        <f>Fluxo_de_Caixa_Janeiro[[#This Row],[Fluxo de Caixa 2026 CTR]]</f>
        <v>0</v>
      </c>
      <c r="C235" s="36">
        <f>Fluxo_de_Caixa_Janeiro[[#This Row],[Janeiro]]</f>
        <v>0</v>
      </c>
      <c r="D235" s="82">
        <f>Fluxo_de_Caixa_Janeiro3[[#This Row],[Fevereiro]]</f>
        <v>0</v>
      </c>
      <c r="E235" s="82">
        <f>Fluxo_de_Caixa_Janeiro34[[#This Row],[Março]]</f>
        <v>0</v>
      </c>
      <c r="F235" s="82">
        <f>Fluxo_de_Caixa_Janeiro345[[#This Row],[ABRIL]]</f>
        <v>0</v>
      </c>
      <c r="G235" s="82">
        <f>Fluxo_de_Caixa_Janeiro3459[[#This Row],[MAIO]]</f>
        <v>0</v>
      </c>
      <c r="H235" s="82">
        <f>Fluxo_de_Caixa_Janeiro345911[[#This Row],[JUNHO]]</f>
        <v>0</v>
      </c>
      <c r="I235" s="36"/>
      <c r="J235" s="82"/>
      <c r="K235" s="82"/>
      <c r="L235" s="82"/>
      <c r="M235" s="82"/>
      <c r="N235" s="120"/>
      <c r="O235" s="225">
        <f>SUM(Fluxo_de_Caixa_Janeiro310208[[#This Row],[Janeiro]:[Dezembro]])</f>
        <v>0</v>
      </c>
      <c r="P235" s="195">
        <f>IFERROR(O235/$O$27,"0,00%")</f>
        <v>0</v>
      </c>
      <c r="Q235" s="96">
        <v>0</v>
      </c>
      <c r="R235" s="32" t="str">
        <f>IF(Fluxo_de_Caixa_Janeiro310208[[#This Row],[% ACUMULADO  1º SEMEST 2026]]&lt;=Fluxo_de_Caixa_Janeiro310208[[#This Row],[% ACUMULADO  1º SEMEST 2025]],"VERDADEIRO","FALSO")</f>
        <v>VERDADEIRO</v>
      </c>
      <c r="T235" s="517">
        <v>0</v>
      </c>
      <c r="U235" s="591">
        <v>0</v>
      </c>
    </row>
    <row r="236" spans="2:26" ht="27.6" customHeight="1" thickBot="1" x14ac:dyDescent="0.4">
      <c r="B236" s="170" t="str">
        <f>Fluxo_de_Caixa_Janeiro[[#This Row],[Fluxo de Caixa 2026 CTR]]</f>
        <v>Total das Despesas Operacionais</v>
      </c>
      <c r="C236" s="159">
        <f>Fluxo_de_Caixa_Janeiro[[#This Row],[Janeiro]]</f>
        <v>-235477.94999999998</v>
      </c>
      <c r="D236" s="100">
        <f>Fluxo_de_Caixa_Janeiro3[[#This Row],[Fevereiro]]</f>
        <v>-271282.99000000005</v>
      </c>
      <c r="E236" s="100">
        <f>Fluxo_de_Caixa_Janeiro34[[#This Row],[Março]]</f>
        <v>-310909.96999999997</v>
      </c>
      <c r="F236" s="100">
        <f>Fluxo_de_Caixa_Janeiro345[[#This Row],[ABRIL]]</f>
        <v>-228159.09000000003</v>
      </c>
      <c r="G236" s="100">
        <f>Fluxo_de_Caixa_Janeiro3459[[#This Row],[MAIO]]</f>
        <v>-214796.86000000004</v>
      </c>
      <c r="H236" s="100">
        <f>Fluxo_de_Caixa_Janeiro345911[[#This Row],[JUNHO]]</f>
        <v>0</v>
      </c>
      <c r="I236" s="159"/>
      <c r="J236" s="100"/>
      <c r="K236" s="100"/>
      <c r="L236" s="100"/>
      <c r="M236" s="100"/>
      <c r="N236" s="130"/>
      <c r="O236" s="227">
        <f>SUM(Fluxo_de_Caixa_Janeiro310208[[#This Row],[Janeiro]:[Dezembro]])</f>
        <v>-1260626.8600000001</v>
      </c>
      <c r="P236" s="196">
        <f>IFERROR(O236/O27,"0,00%")</f>
        <v>-0.27201251253337949</v>
      </c>
      <c r="Q236" s="101">
        <v>-0.22462639385399596</v>
      </c>
      <c r="R236" s="32" t="str">
        <f>IF(Fluxo_de_Caixa_Janeiro310208[[#This Row],[% ACUMULADO  1º SEMEST 2026]]&gt;=Fluxo_de_Caixa_Janeiro310208[[#This Row],[% ACUMULADO  1º SEMEST 2025]],"VERDADEIRO","FALSO")</f>
        <v>FALSO</v>
      </c>
      <c r="T236" s="521">
        <v>-1271376.9500000002</v>
      </c>
      <c r="U236" s="595">
        <v>-0.22462639385399596</v>
      </c>
    </row>
    <row r="237" spans="2:26" ht="27" thickBot="1" x14ac:dyDescent="0.45">
      <c r="B237" s="171" t="str">
        <f>Fluxo_de_Caixa_Janeiro[[#This Row],[Fluxo de Caixa 2026 CTR]]</f>
        <v>Saldo Operacional Liquido</v>
      </c>
      <c r="C237" s="160">
        <f>Fluxo_de_Caixa_Janeiro[[#This Row],[Janeiro]]</f>
        <v>-4474.2400000000198</v>
      </c>
      <c r="D237" s="102">
        <f>Fluxo_de_Caixa_Janeiro3[[#This Row],[Fevereiro]]</f>
        <v>113533.4599999999</v>
      </c>
      <c r="E237" s="102">
        <f>Fluxo_de_Caixa_Janeiro34[[#This Row],[Março]]</f>
        <v>246789.71999999997</v>
      </c>
      <c r="F237" s="102">
        <f>Fluxo_de_Caixa_Janeiro345[[#This Row],[ABRIL]]</f>
        <v>336819.23000000004</v>
      </c>
      <c r="G237" s="102">
        <f>Fluxo_de_Caixa_Janeiro3459[[#This Row],[MAIO]]</f>
        <v>274881.09999999992</v>
      </c>
      <c r="H237" s="102">
        <f>Fluxo_de_Caixa_Janeiro345911[[#This Row],[JUNHO]]</f>
        <v>0</v>
      </c>
      <c r="I237" s="160"/>
      <c r="J237" s="102"/>
      <c r="K237" s="102"/>
      <c r="L237" s="102"/>
      <c r="M237" s="102"/>
      <c r="N237" s="131"/>
      <c r="O237" s="228">
        <f>SUM(Fluxo_de_Caixa_Janeiro310208[[#This Row],[Janeiro]:[Dezembro]])</f>
        <v>967549.26999999979</v>
      </c>
      <c r="P237" s="197">
        <f>IFERROR(O237/O27,"0,00%")</f>
        <v>0.20877352076453226</v>
      </c>
      <c r="Q237" s="99">
        <v>-1.4335664061996271E-2</v>
      </c>
      <c r="R237" s="32" t="str">
        <f>IF(Fluxo_de_Caixa_Janeiro310208[[#This Row],[% ACUMULADO  1º SEMEST 2026]]&gt;=Fluxo_de_Caixa_Janeiro310208[[#This Row],[% ACUMULADO  1º SEMEST 2025]],"VERDADEIRO","FALSO")</f>
        <v>VERDADEIRO</v>
      </c>
      <c r="S237" s="1"/>
      <c r="T237" s="522">
        <v>-81139.320000000094</v>
      </c>
      <c r="U237" s="596">
        <v>-1.4335664061996271E-2</v>
      </c>
      <c r="V237" s="1"/>
      <c r="W237" s="1"/>
      <c r="X237" s="1"/>
      <c r="Y237" s="1"/>
      <c r="Z237" s="1"/>
    </row>
    <row r="238" spans="2:26" s="1" customFormat="1" ht="24" thickBot="1" x14ac:dyDescent="0.4">
      <c r="B238" s="172" t="str">
        <f>Fluxo_de_Caixa_Janeiro[[#This Row],[Fluxo de Caixa 2026 CTR]]</f>
        <v>Receitas Não Operacionais Totais</v>
      </c>
      <c r="C238" s="161">
        <f>Fluxo_de_Caixa_Janeiro[[#This Row],[Janeiro]]</f>
        <v>1301.98</v>
      </c>
      <c r="D238" s="103">
        <f>Fluxo_de_Caixa_Janeiro3[[#This Row],[Fevereiro]]</f>
        <v>73.570000000000007</v>
      </c>
      <c r="E238" s="103">
        <f>Fluxo_de_Caixa_Janeiro34[[#This Row],[Março]]</f>
        <v>830432.22</v>
      </c>
      <c r="F238" s="103">
        <f>Fluxo_de_Caixa_Janeiro345[[#This Row],[ABRIL]]</f>
        <v>1100</v>
      </c>
      <c r="G238" s="103">
        <f>Fluxo_de_Caixa_Janeiro3459[[#This Row],[MAIO]]</f>
        <v>788.05</v>
      </c>
      <c r="H238" s="103">
        <f>Fluxo_de_Caixa_Janeiro345911[[#This Row],[JUNHO]]</f>
        <v>0</v>
      </c>
      <c r="I238" s="161"/>
      <c r="J238" s="103"/>
      <c r="K238" s="103"/>
      <c r="L238" s="103"/>
      <c r="M238" s="103"/>
      <c r="N238" s="132"/>
      <c r="O238" s="229">
        <f>SUM(Fluxo_de_Caixa_Janeiro310208[[#This Row],[Janeiro]:[Dezembro]])</f>
        <v>833695.82000000007</v>
      </c>
      <c r="P238" s="145">
        <f>SUM(P239,P248,P261)</f>
        <v>0.15246423637784565</v>
      </c>
      <c r="Q238" s="145">
        <v>9.5910586675852602E-2</v>
      </c>
      <c r="R238" s="32" t="str">
        <f>IF(Fluxo_de_Caixa_Janeiro310208[[#This Row],[% ACUMULADO  1º SEMEST 2026]]&gt;=Fluxo_de_Caixa_Janeiro310208[[#This Row],[% ACUMULADO  1º SEMEST 2025]],"VERDADEIRO","FALSO")</f>
        <v>VERDADEIRO</v>
      </c>
      <c r="T238" s="523">
        <v>600438.75</v>
      </c>
      <c r="U238" s="597">
        <v>9.5910586675852602E-2</v>
      </c>
    </row>
    <row r="239" spans="2:26" s="1" customFormat="1" ht="24" thickBot="1" x14ac:dyDescent="0.4">
      <c r="B239" s="57" t="str">
        <f>Fluxo_de_Caixa_Janeiro[[#This Row],[Fluxo de Caixa 2026 CTR]]</f>
        <v>4.1. Receita de Empréstimo</v>
      </c>
      <c r="C239" s="44">
        <f>Fluxo_de_Caixa_Janeiro[[#This Row],[Janeiro]]</f>
        <v>0</v>
      </c>
      <c r="D239" s="85">
        <f>Fluxo_de_Caixa_Janeiro3[[#This Row],[Fevereiro]]</f>
        <v>0</v>
      </c>
      <c r="E239" s="85">
        <f>Fluxo_de_Caixa_Janeiro34[[#This Row],[Março]]</f>
        <v>830000</v>
      </c>
      <c r="F239" s="85">
        <f>Fluxo_de_Caixa_Janeiro345[[#This Row],[ABRIL]]</f>
        <v>0</v>
      </c>
      <c r="G239" s="85">
        <f>Fluxo_de_Caixa_Janeiro3459[[#This Row],[MAIO]]</f>
        <v>0</v>
      </c>
      <c r="H239" s="85">
        <f>Fluxo_de_Caixa_Janeiro345911[[#This Row],[JUNHO]]</f>
        <v>0</v>
      </c>
      <c r="I239" s="44"/>
      <c r="J239" s="85"/>
      <c r="K239" s="85"/>
      <c r="L239" s="85"/>
      <c r="M239" s="85"/>
      <c r="N239" s="122"/>
      <c r="O239" s="212">
        <f>SUM(Fluxo_de_Caixa_Janeiro310208[[#This Row],[Janeiro]:[Dezembro]])</f>
        <v>830000</v>
      </c>
      <c r="P239" s="555">
        <f t="shared" ref="P239:P271" si="14">IF(O239=0,"0,00%",O239/$O$332)</f>
        <v>0.15178835392698967</v>
      </c>
      <c r="Q239" s="612">
        <v>7.9867086089840639E-2</v>
      </c>
      <c r="R239" s="32" t="str">
        <f>IF(Fluxo_de_Caixa_Janeiro310208[[#This Row],[% ACUMULADO  1º SEMEST 2026]]&gt;=Fluxo_de_Caixa_Janeiro310208[[#This Row],[% ACUMULADO  1º SEMEST 2025]],"VERDADEIRO","FALSO")</f>
        <v>VERDADEIRO</v>
      </c>
      <c r="T239" s="502">
        <v>500000</v>
      </c>
      <c r="U239" s="612">
        <v>7.9867086089840639E-2</v>
      </c>
    </row>
    <row r="240" spans="2:26" x14ac:dyDescent="0.25">
      <c r="B240" s="49" t="str">
        <f>Fluxo_de_Caixa_Janeiro[[#This Row],[Fluxo de Caixa 2026 CTR]]</f>
        <v>4.1.01 Bancário</v>
      </c>
      <c r="C240" s="41">
        <f>Fluxo_de_Caixa_Janeiro[[#This Row],[Janeiro]]</f>
        <v>0</v>
      </c>
      <c r="D240" s="81">
        <f>Fluxo_de_Caixa_Janeiro3[[#This Row],[Fevereiro]]</f>
        <v>0</v>
      </c>
      <c r="E240" s="81">
        <f>Fluxo_de_Caixa_Janeiro34[[#This Row],[Março]]</f>
        <v>830000</v>
      </c>
      <c r="F240" s="81">
        <f>Fluxo_de_Caixa_Janeiro345[[#This Row],[ABRIL]]</f>
        <v>0</v>
      </c>
      <c r="G240" s="81">
        <f>Fluxo_de_Caixa_Janeiro3459[[#This Row],[MAIO]]</f>
        <v>0</v>
      </c>
      <c r="H240" s="81">
        <f>Fluxo_de_Caixa_Janeiro345911[[#This Row],[JUNHO]]</f>
        <v>0</v>
      </c>
      <c r="I240" s="41"/>
      <c r="J240" s="81"/>
      <c r="K240" s="81"/>
      <c r="L240" s="81"/>
      <c r="M240" s="81"/>
      <c r="N240" s="118"/>
      <c r="O240" s="230">
        <f>SUM(Fluxo_de_Caixa_Janeiro310208[[#This Row],[Janeiro]:[Dezembro]])</f>
        <v>830000</v>
      </c>
      <c r="P240" s="29">
        <f t="shared" si="14"/>
        <v>0.15178835392698967</v>
      </c>
      <c r="Q240" s="578">
        <v>7.9867086089840639E-2</v>
      </c>
      <c r="R240" s="32" t="str">
        <f>IF(Fluxo_de_Caixa_Janeiro310208[[#This Row],[% ACUMULADO  1º SEMEST 2026]]&gt;=Fluxo_de_Caixa_Janeiro310208[[#This Row],[% ACUMULADO  1º SEMEST 2025]],"VERDADEIRO","FALSO")</f>
        <v>VERDADEIRO</v>
      </c>
      <c r="T240" s="524">
        <v>500000</v>
      </c>
      <c r="U240" s="578">
        <v>7.9867086089840639E-2</v>
      </c>
    </row>
    <row r="241" spans="2:21" x14ac:dyDescent="0.25">
      <c r="B241" s="49" t="str">
        <f>Fluxo_de_Caixa_Janeiro[[#This Row],[Fluxo de Caixa 2026 CTR]]</f>
        <v>4.1.02 Financiamento</v>
      </c>
      <c r="C241" s="35">
        <f>Fluxo_de_Caixa_Janeiro[[#This Row],[Janeiro]]</f>
        <v>0</v>
      </c>
      <c r="D241" s="62">
        <f>Fluxo_de_Caixa_Janeiro3[[#This Row],[Fevereiro]]</f>
        <v>0</v>
      </c>
      <c r="E241" s="62">
        <f>Fluxo_de_Caixa_Janeiro34[[#This Row],[Março]]</f>
        <v>0</v>
      </c>
      <c r="F241" s="62">
        <f>Fluxo_de_Caixa_Janeiro345[[#This Row],[ABRIL]]</f>
        <v>0</v>
      </c>
      <c r="G241" s="62">
        <f>Fluxo_de_Caixa_Janeiro3459[[#This Row],[MAIO]]</f>
        <v>0</v>
      </c>
      <c r="H241" s="62">
        <f>Fluxo_de_Caixa_Janeiro345911[[#This Row],[JUNHO]]</f>
        <v>0</v>
      </c>
      <c r="I241" s="35"/>
      <c r="J241" s="62"/>
      <c r="K241" s="62"/>
      <c r="L241" s="62"/>
      <c r="M241" s="62"/>
      <c r="N241" s="119"/>
      <c r="O241" s="231">
        <f>SUM(Fluxo_de_Caixa_Janeiro310208[[#This Row],[Janeiro]:[Dezembro]])</f>
        <v>0</v>
      </c>
      <c r="P241" s="140" t="str">
        <f t="shared" si="14"/>
        <v>0,00%</v>
      </c>
      <c r="Q241" s="579" t="s">
        <v>240</v>
      </c>
      <c r="R241" s="32" t="str">
        <f>IF(Fluxo_de_Caixa_Janeiro310208[[#This Row],[% ACUMULADO  1º SEMEST 2026]]&gt;=Fluxo_de_Caixa_Janeiro310208[[#This Row],[% ACUMULADO  1º SEMEST 2025]],"VERDADEIRO","FALSO")</f>
        <v>VERDADEIRO</v>
      </c>
      <c r="T241" s="525">
        <v>0</v>
      </c>
      <c r="U241" s="579" t="s">
        <v>240</v>
      </c>
    </row>
    <row r="242" spans="2:21" x14ac:dyDescent="0.25">
      <c r="B242" s="49" t="str">
        <f>Fluxo_de_Caixa_Janeiro[[#This Row],[Fluxo de Caixa 2026 CTR]]</f>
        <v>4.1.03 Entre Lojas do Grupo</v>
      </c>
      <c r="C242" s="35">
        <f>Fluxo_de_Caixa_Janeiro[[#This Row],[Janeiro]]</f>
        <v>0</v>
      </c>
      <c r="D242" s="62">
        <f>Fluxo_de_Caixa_Janeiro3[[#This Row],[Fevereiro]]</f>
        <v>0</v>
      </c>
      <c r="E242" s="62">
        <f>Fluxo_de_Caixa_Janeiro34[[#This Row],[Março]]</f>
        <v>0</v>
      </c>
      <c r="F242" s="62">
        <f>Fluxo_de_Caixa_Janeiro345[[#This Row],[ABRIL]]</f>
        <v>0</v>
      </c>
      <c r="G242" s="62">
        <f>Fluxo_de_Caixa_Janeiro3459[[#This Row],[MAIO]]</f>
        <v>0</v>
      </c>
      <c r="H242" s="62">
        <f>Fluxo_de_Caixa_Janeiro345911[[#This Row],[JUNHO]]</f>
        <v>0</v>
      </c>
      <c r="I242" s="35"/>
      <c r="J242" s="62"/>
      <c r="K242" s="62"/>
      <c r="L242" s="62"/>
      <c r="M242" s="62"/>
      <c r="N242" s="119"/>
      <c r="O242" s="231">
        <f>SUM(Fluxo_de_Caixa_Janeiro310208[[#This Row],[Janeiro]:[Dezembro]])</f>
        <v>0</v>
      </c>
      <c r="P242" s="140" t="str">
        <f t="shared" si="14"/>
        <v>0,00%</v>
      </c>
      <c r="Q242" s="579" t="s">
        <v>240</v>
      </c>
      <c r="R242" s="32" t="str">
        <f>IF(Fluxo_de_Caixa_Janeiro310208[[#This Row],[% ACUMULADO  1º SEMEST 2026]]&gt;=Fluxo_de_Caixa_Janeiro310208[[#This Row],[% ACUMULADO  1º SEMEST 2025]],"VERDADEIRO","FALSO")</f>
        <v>VERDADEIRO</v>
      </c>
      <c r="T242" s="525">
        <v>0</v>
      </c>
      <c r="U242" s="579" t="s">
        <v>240</v>
      </c>
    </row>
    <row r="243" spans="2:21" ht="15.75" thickBot="1" x14ac:dyDescent="0.3">
      <c r="B243" s="56" t="str">
        <f>Fluxo_de_Caixa_Janeiro[[#This Row],[Fluxo de Caixa 2026 CTR]]</f>
        <v>4.1.04 Pessoa Física</v>
      </c>
      <c r="C243" s="35">
        <f>Fluxo_de_Caixa_Janeiro[[#This Row],[Janeiro]]</f>
        <v>0</v>
      </c>
      <c r="D243" s="62">
        <f>Fluxo_de_Caixa_Janeiro3[[#This Row],[Fevereiro]]</f>
        <v>0</v>
      </c>
      <c r="E243" s="62">
        <f>Fluxo_de_Caixa_Janeiro34[[#This Row],[Março]]</f>
        <v>0</v>
      </c>
      <c r="F243" s="62">
        <f>Fluxo_de_Caixa_Janeiro345[[#This Row],[ABRIL]]</f>
        <v>0</v>
      </c>
      <c r="G243" s="62">
        <f>Fluxo_de_Caixa_Janeiro3459[[#This Row],[MAIO]]</f>
        <v>0</v>
      </c>
      <c r="H243" s="62">
        <f>Fluxo_de_Caixa_Janeiro345911[[#This Row],[JUNHO]]</f>
        <v>0</v>
      </c>
      <c r="I243" s="35"/>
      <c r="J243" s="62"/>
      <c r="K243" s="62"/>
      <c r="L243" s="62"/>
      <c r="M243" s="62"/>
      <c r="N243" s="119"/>
      <c r="O243" s="231">
        <f>SUM(Fluxo_de_Caixa_Janeiro310208[[#This Row],[Janeiro]:[Dezembro]])</f>
        <v>0</v>
      </c>
      <c r="P243" s="140" t="str">
        <f t="shared" si="14"/>
        <v>0,00%</v>
      </c>
      <c r="Q243" s="579" t="s">
        <v>240</v>
      </c>
      <c r="R243" s="32" t="str">
        <f>IF(Fluxo_de_Caixa_Janeiro310208[[#This Row],[% ACUMULADO  1º SEMEST 2026]]&gt;=Fluxo_de_Caixa_Janeiro310208[[#This Row],[% ACUMULADO  1º SEMEST 2025]],"VERDADEIRO","FALSO")</f>
        <v>VERDADEIRO</v>
      </c>
      <c r="T243" s="525">
        <v>0</v>
      </c>
      <c r="U243" s="579" t="s">
        <v>240</v>
      </c>
    </row>
    <row r="244" spans="2:21" hidden="1" x14ac:dyDescent="0.25">
      <c r="B244" s="50">
        <f>Fluxo_de_Caixa_Janeiro[[#This Row],[Fluxo de Caixa 2026 CTR]]</f>
        <v>0</v>
      </c>
      <c r="C244" s="35">
        <f>Fluxo_de_Caixa_Janeiro[[#This Row],[Janeiro]]</f>
        <v>0</v>
      </c>
      <c r="D244" s="62">
        <f>Fluxo_de_Caixa_Janeiro3[[#This Row],[Fevereiro]]</f>
        <v>0</v>
      </c>
      <c r="E244" s="62">
        <f>Fluxo_de_Caixa_Janeiro34[[#This Row],[Março]]</f>
        <v>0</v>
      </c>
      <c r="F244" s="62">
        <f>Fluxo_de_Caixa_Janeiro345[[#This Row],[ABRIL]]</f>
        <v>0</v>
      </c>
      <c r="G244" s="62">
        <f>Fluxo_de_Caixa_Janeiro3459[[#This Row],[MAIO]]</f>
        <v>0</v>
      </c>
      <c r="H244" s="62">
        <f>Fluxo_de_Caixa_Janeiro345911[[#This Row],[JUNHO]]</f>
        <v>0</v>
      </c>
      <c r="I244" s="35"/>
      <c r="J244" s="62"/>
      <c r="K244" s="62"/>
      <c r="L244" s="62"/>
      <c r="M244" s="62"/>
      <c r="N244" s="119"/>
      <c r="O244" s="231">
        <f>SUM(Fluxo_de_Caixa_Janeiro310208[[#This Row],[Janeiro]:[Dezembro]])</f>
        <v>0</v>
      </c>
      <c r="P244" s="140" t="str">
        <f t="shared" si="14"/>
        <v>0,00%</v>
      </c>
      <c r="Q244" s="579" t="s">
        <v>240</v>
      </c>
      <c r="R244" s="32" t="str">
        <f>IF(Fluxo_de_Caixa_Janeiro310208[[#This Row],[% ACUMULADO  1º SEMEST 2026]]&gt;=Fluxo_de_Caixa_Janeiro310208[[#This Row],[% ACUMULADO  1º SEMEST 2025]],"VERDADEIRO","FALSO")</f>
        <v>VERDADEIRO</v>
      </c>
      <c r="T244" s="525">
        <v>0</v>
      </c>
      <c r="U244" s="579" t="s">
        <v>240</v>
      </c>
    </row>
    <row r="245" spans="2:21" hidden="1" x14ac:dyDescent="0.25">
      <c r="B245" s="50">
        <f>Fluxo_de_Caixa_Janeiro[[#This Row],[Fluxo de Caixa 2026 CTR]]</f>
        <v>0</v>
      </c>
      <c r="C245" s="35">
        <f>Fluxo_de_Caixa_Janeiro[[#This Row],[Janeiro]]</f>
        <v>0</v>
      </c>
      <c r="D245" s="62">
        <f>Fluxo_de_Caixa_Janeiro3[[#This Row],[Fevereiro]]</f>
        <v>0</v>
      </c>
      <c r="E245" s="62">
        <f>Fluxo_de_Caixa_Janeiro34[[#This Row],[Março]]</f>
        <v>0</v>
      </c>
      <c r="F245" s="62">
        <f>Fluxo_de_Caixa_Janeiro345[[#This Row],[ABRIL]]</f>
        <v>0</v>
      </c>
      <c r="G245" s="62">
        <f>Fluxo_de_Caixa_Janeiro3459[[#This Row],[MAIO]]</f>
        <v>0</v>
      </c>
      <c r="H245" s="62">
        <f>Fluxo_de_Caixa_Janeiro345911[[#This Row],[JUNHO]]</f>
        <v>0</v>
      </c>
      <c r="I245" s="35"/>
      <c r="J245" s="62"/>
      <c r="K245" s="62"/>
      <c r="L245" s="62"/>
      <c r="M245" s="62"/>
      <c r="N245" s="119"/>
      <c r="O245" s="231">
        <f>SUM(Fluxo_de_Caixa_Janeiro310208[[#This Row],[Janeiro]:[Dezembro]])</f>
        <v>0</v>
      </c>
      <c r="P245" s="140" t="str">
        <f t="shared" si="14"/>
        <v>0,00%</v>
      </c>
      <c r="Q245" s="579" t="s">
        <v>240</v>
      </c>
      <c r="R245" s="32" t="str">
        <f>IF(Fluxo_de_Caixa_Janeiro310208[[#This Row],[% ACUMULADO  1º SEMEST 2026]]&gt;=Fluxo_de_Caixa_Janeiro310208[[#This Row],[% ACUMULADO  1º SEMEST 2025]],"VERDADEIRO","FALSO")</f>
        <v>VERDADEIRO</v>
      </c>
      <c r="T245" s="525">
        <v>0</v>
      </c>
      <c r="U245" s="579" t="s">
        <v>240</v>
      </c>
    </row>
    <row r="246" spans="2:21" hidden="1" x14ac:dyDescent="0.25">
      <c r="B246" s="50">
        <f>Fluxo_de_Caixa_Janeiro[[#This Row],[Fluxo de Caixa 2026 CTR]]</f>
        <v>0</v>
      </c>
      <c r="C246" s="35">
        <f>Fluxo_de_Caixa_Janeiro[[#This Row],[Janeiro]]</f>
        <v>0</v>
      </c>
      <c r="D246" s="62">
        <f>Fluxo_de_Caixa_Janeiro3[[#This Row],[Fevereiro]]</f>
        <v>0</v>
      </c>
      <c r="E246" s="62">
        <f>Fluxo_de_Caixa_Janeiro34[[#This Row],[Março]]</f>
        <v>0</v>
      </c>
      <c r="F246" s="62">
        <f>Fluxo_de_Caixa_Janeiro345[[#This Row],[ABRIL]]</f>
        <v>0</v>
      </c>
      <c r="G246" s="62">
        <f>Fluxo_de_Caixa_Janeiro3459[[#This Row],[MAIO]]</f>
        <v>0</v>
      </c>
      <c r="H246" s="62">
        <f>Fluxo_de_Caixa_Janeiro345911[[#This Row],[JUNHO]]</f>
        <v>0</v>
      </c>
      <c r="I246" s="35"/>
      <c r="J246" s="62"/>
      <c r="K246" s="62"/>
      <c r="L246" s="62"/>
      <c r="M246" s="62"/>
      <c r="N246" s="119"/>
      <c r="O246" s="231">
        <f>SUM(Fluxo_de_Caixa_Janeiro310208[[#This Row],[Janeiro]:[Dezembro]])</f>
        <v>0</v>
      </c>
      <c r="P246" s="140" t="str">
        <f t="shared" si="14"/>
        <v>0,00%</v>
      </c>
      <c r="Q246" s="579" t="s">
        <v>240</v>
      </c>
      <c r="R246" s="32" t="str">
        <f>IF(Fluxo_de_Caixa_Janeiro310208[[#This Row],[% ACUMULADO  1º SEMEST 2026]]&gt;=Fluxo_de_Caixa_Janeiro310208[[#This Row],[% ACUMULADO  1º SEMEST 2025]],"VERDADEIRO","FALSO")</f>
        <v>VERDADEIRO</v>
      </c>
      <c r="T246" s="525">
        <v>0</v>
      </c>
      <c r="U246" s="579" t="s">
        <v>240</v>
      </c>
    </row>
    <row r="247" spans="2:21" ht="15.75" hidden="1" thickBot="1" x14ac:dyDescent="0.3">
      <c r="B247" s="58">
        <f>Fluxo_de_Caixa_Janeiro[[#This Row],[Fluxo de Caixa 2026 CTR]]</f>
        <v>0</v>
      </c>
      <c r="C247" s="36">
        <f>Fluxo_de_Caixa_Janeiro[[#This Row],[Janeiro]]</f>
        <v>0</v>
      </c>
      <c r="D247" s="82">
        <f>Fluxo_de_Caixa_Janeiro3[[#This Row],[Fevereiro]]</f>
        <v>0</v>
      </c>
      <c r="E247" s="82">
        <f>Fluxo_de_Caixa_Janeiro34[[#This Row],[Março]]</f>
        <v>0</v>
      </c>
      <c r="F247" s="82">
        <f>Fluxo_de_Caixa_Janeiro345[[#This Row],[ABRIL]]</f>
        <v>0</v>
      </c>
      <c r="G247" s="82">
        <f>Fluxo_de_Caixa_Janeiro3459[[#This Row],[MAIO]]</f>
        <v>0</v>
      </c>
      <c r="H247" s="82">
        <f>Fluxo_de_Caixa_Janeiro345911[[#This Row],[JUNHO]]</f>
        <v>0</v>
      </c>
      <c r="I247" s="36"/>
      <c r="J247" s="82"/>
      <c r="K247" s="82"/>
      <c r="L247" s="82"/>
      <c r="M247" s="82"/>
      <c r="N247" s="120"/>
      <c r="O247" s="232">
        <f>SUM(Fluxo_de_Caixa_Janeiro310208[[#This Row],[Janeiro]:[Dezembro]])</f>
        <v>0</v>
      </c>
      <c r="P247" s="141" t="str">
        <f t="shared" si="14"/>
        <v>0,00%</v>
      </c>
      <c r="Q247" s="580" t="s">
        <v>240</v>
      </c>
      <c r="R247" s="32" t="str">
        <f>IF(Fluxo_de_Caixa_Janeiro310208[[#This Row],[% ACUMULADO  1º SEMEST 2026]]&gt;=Fluxo_de_Caixa_Janeiro310208[[#This Row],[% ACUMULADO  1º SEMEST 2025]],"VERDADEIRO","FALSO")</f>
        <v>VERDADEIRO</v>
      </c>
      <c r="T247" s="526">
        <v>0</v>
      </c>
      <c r="U247" s="580" t="s">
        <v>240</v>
      </c>
    </row>
    <row r="248" spans="2:21" s="1" customFormat="1" ht="24" thickBot="1" x14ac:dyDescent="0.4">
      <c r="B248" s="48" t="str">
        <f>Fluxo_de_Caixa_Janeiro[[#This Row],[Fluxo de Caixa 2026 CTR]]</f>
        <v>4.2. Receita de Investimento</v>
      </c>
      <c r="C248" s="38">
        <f>Fluxo_de_Caixa_Janeiro[[#This Row],[Janeiro]]</f>
        <v>0.4</v>
      </c>
      <c r="D248" s="87">
        <f>Fluxo_de_Caixa_Janeiro3[[#This Row],[Fevereiro]]</f>
        <v>1.56</v>
      </c>
      <c r="E248" s="87">
        <f>Fluxo_de_Caixa_Janeiro34[[#This Row],[Março]]</f>
        <v>1.84</v>
      </c>
      <c r="F248" s="87">
        <f>Fluxo_de_Caixa_Janeiro345[[#This Row],[ABRIL]]</f>
        <v>550</v>
      </c>
      <c r="G248" s="87">
        <f>Fluxo_de_Caixa_Janeiro3459[[#This Row],[MAIO]]</f>
        <v>788.05</v>
      </c>
      <c r="H248" s="87">
        <f>Fluxo_de_Caixa_Janeiro345911[[#This Row],[JUNHO]]</f>
        <v>0</v>
      </c>
      <c r="I248" s="38"/>
      <c r="J248" s="87"/>
      <c r="K248" s="87"/>
      <c r="L248" s="87"/>
      <c r="M248" s="87"/>
      <c r="N248" s="125"/>
      <c r="O248" s="216">
        <f>SUM(Fluxo_de_Caixa_Janeiro310208[[#This Row],[Janeiro]:[Dezembro]])</f>
        <v>1341.85</v>
      </c>
      <c r="P248" s="247">
        <f t="shared" si="14"/>
        <v>2.453942201408808E-4</v>
      </c>
      <c r="Q248" s="598">
        <v>1.5925584820108925E-2</v>
      </c>
      <c r="R248" s="32" t="str">
        <f>IF(Fluxo_de_Caixa_Janeiro310208[[#This Row],[% ACUMULADO  1º SEMEST 2026]]&gt;=Fluxo_de_Caixa_Janeiro310208[[#This Row],[% ACUMULADO  1º SEMEST 2025]],"VERDADEIRO","FALSO")</f>
        <v>FALSO</v>
      </c>
      <c r="T248" s="507">
        <v>99700.55</v>
      </c>
      <c r="U248" s="598">
        <v>1.5925584820108925E-2</v>
      </c>
    </row>
    <row r="249" spans="2:21" x14ac:dyDescent="0.25">
      <c r="B249" s="49" t="str">
        <f>Fluxo_de_Caixa_Janeiro[[#This Row],[Fluxo de Caixa 2026 CTR]]</f>
        <v>4.2.01 Venda de Imóveis/terrenos</v>
      </c>
      <c r="C249" s="41">
        <f>Fluxo_de_Caixa_Janeiro[[#This Row],[Janeiro]]</f>
        <v>0</v>
      </c>
      <c r="D249" s="81">
        <f>Fluxo_de_Caixa_Janeiro3[[#This Row],[Fevereiro]]</f>
        <v>0</v>
      </c>
      <c r="E249" s="81">
        <f>Fluxo_de_Caixa_Janeiro34[[#This Row],[Março]]</f>
        <v>0</v>
      </c>
      <c r="F249" s="81">
        <f>Fluxo_de_Caixa_Janeiro345[[#This Row],[ABRIL]]</f>
        <v>0</v>
      </c>
      <c r="G249" s="81">
        <f>Fluxo_de_Caixa_Janeiro3459[[#This Row],[MAIO]]</f>
        <v>0</v>
      </c>
      <c r="H249" s="81">
        <f>Fluxo_de_Caixa_Janeiro345911[[#This Row],[JUNHO]]</f>
        <v>0</v>
      </c>
      <c r="I249" s="41"/>
      <c r="J249" s="81"/>
      <c r="K249" s="81"/>
      <c r="L249" s="81"/>
      <c r="M249" s="81"/>
      <c r="N249" s="118"/>
      <c r="O249" s="230">
        <f>SUM(Fluxo_de_Caixa_Janeiro310208[[#This Row],[Janeiro]:[Dezembro]])</f>
        <v>0</v>
      </c>
      <c r="P249" s="29" t="str">
        <f t="shared" si="14"/>
        <v>0,00%</v>
      </c>
      <c r="Q249" s="578" t="s">
        <v>240</v>
      </c>
      <c r="R249" s="32" t="str">
        <f>IF(Fluxo_de_Caixa_Janeiro310208[[#This Row],[% ACUMULADO  1º SEMEST 2026]]&gt;=Fluxo_de_Caixa_Janeiro310208[[#This Row],[% ACUMULADO  1º SEMEST 2025]],"VERDADEIRO","FALSO")</f>
        <v>VERDADEIRO</v>
      </c>
      <c r="T249" s="524">
        <v>0</v>
      </c>
      <c r="U249" s="578" t="s">
        <v>240</v>
      </c>
    </row>
    <row r="250" spans="2:21" x14ac:dyDescent="0.25">
      <c r="B250" s="49" t="str">
        <f>Fluxo_de_Caixa_Janeiro[[#This Row],[Fluxo de Caixa 2026 CTR]]</f>
        <v xml:space="preserve">4.2.02 Venda de Veículos </v>
      </c>
      <c r="C250" s="35">
        <f>Fluxo_de_Caixa_Janeiro[[#This Row],[Janeiro]]</f>
        <v>0</v>
      </c>
      <c r="D250" s="62">
        <f>Fluxo_de_Caixa_Janeiro3[[#This Row],[Fevereiro]]</f>
        <v>0</v>
      </c>
      <c r="E250" s="62">
        <f>Fluxo_de_Caixa_Janeiro34[[#This Row],[Março]]</f>
        <v>0</v>
      </c>
      <c r="F250" s="62">
        <f>Fluxo_de_Caixa_Janeiro345[[#This Row],[ABRIL]]</f>
        <v>0</v>
      </c>
      <c r="G250" s="62">
        <f>Fluxo_de_Caixa_Janeiro3459[[#This Row],[MAIO]]</f>
        <v>0</v>
      </c>
      <c r="H250" s="62">
        <f>Fluxo_de_Caixa_Janeiro345911[[#This Row],[JUNHO]]</f>
        <v>0</v>
      </c>
      <c r="I250" s="35"/>
      <c r="J250" s="62"/>
      <c r="K250" s="62"/>
      <c r="L250" s="62"/>
      <c r="M250" s="62"/>
      <c r="N250" s="119"/>
      <c r="O250" s="231">
        <f>SUM(Fluxo_de_Caixa_Janeiro310208[[#This Row],[Janeiro]:[Dezembro]])</f>
        <v>0</v>
      </c>
      <c r="P250" s="140" t="str">
        <f t="shared" si="14"/>
        <v>0,00%</v>
      </c>
      <c r="Q250" s="579" t="s">
        <v>240</v>
      </c>
      <c r="R250" s="32" t="str">
        <f>IF(Fluxo_de_Caixa_Janeiro310208[[#This Row],[% ACUMULADO  1º SEMEST 2026]]&gt;=Fluxo_de_Caixa_Janeiro310208[[#This Row],[% ACUMULADO  1º SEMEST 2025]],"VERDADEIRO","FALSO")</f>
        <v>VERDADEIRO</v>
      </c>
      <c r="T250" s="525">
        <v>0</v>
      </c>
      <c r="U250" s="579" t="s">
        <v>240</v>
      </c>
    </row>
    <row r="251" spans="2:21" x14ac:dyDescent="0.25">
      <c r="B251" s="49" t="str">
        <f>Fluxo_de_Caixa_Janeiro[[#This Row],[Fluxo de Caixa 2026 CTR]]</f>
        <v xml:space="preserve">4.2.03 Resgate de Titulo de Capitalização </v>
      </c>
      <c r="C251" s="35">
        <f>Fluxo_de_Caixa_Janeiro[[#This Row],[Janeiro]]</f>
        <v>0</v>
      </c>
      <c r="D251" s="62">
        <f>Fluxo_de_Caixa_Janeiro3[[#This Row],[Fevereiro]]</f>
        <v>0</v>
      </c>
      <c r="E251" s="62">
        <f>Fluxo_de_Caixa_Janeiro34[[#This Row],[Março]]</f>
        <v>0</v>
      </c>
      <c r="F251" s="62">
        <f>Fluxo_de_Caixa_Janeiro345[[#This Row],[ABRIL]]</f>
        <v>0</v>
      </c>
      <c r="G251" s="62">
        <f>Fluxo_de_Caixa_Janeiro3459[[#This Row],[MAIO]]</f>
        <v>0</v>
      </c>
      <c r="H251" s="62">
        <f>Fluxo_de_Caixa_Janeiro345911[[#This Row],[JUNHO]]</f>
        <v>0</v>
      </c>
      <c r="I251" s="35"/>
      <c r="J251" s="62"/>
      <c r="K251" s="62"/>
      <c r="L251" s="62"/>
      <c r="M251" s="62"/>
      <c r="N251" s="119"/>
      <c r="O251" s="231">
        <f>SUM(Fluxo_de_Caixa_Janeiro310208[[#This Row],[Janeiro]:[Dezembro]])</f>
        <v>0</v>
      </c>
      <c r="P251" s="140" t="str">
        <f t="shared" si="14"/>
        <v>0,00%</v>
      </c>
      <c r="Q251" s="579" t="s">
        <v>240</v>
      </c>
      <c r="R251" s="32" t="str">
        <f>IF(Fluxo_de_Caixa_Janeiro310208[[#This Row],[% ACUMULADO  1º SEMEST 2026]]&gt;=Fluxo_de_Caixa_Janeiro310208[[#This Row],[% ACUMULADO  1º SEMEST 2025]],"VERDADEIRO","FALSO")</f>
        <v>VERDADEIRO</v>
      </c>
      <c r="T251" s="525">
        <v>0</v>
      </c>
      <c r="U251" s="579" t="s">
        <v>240</v>
      </c>
    </row>
    <row r="252" spans="2:21" x14ac:dyDescent="0.25">
      <c r="B252" s="49" t="str">
        <f>Fluxo_de_Caixa_Janeiro[[#This Row],[Fluxo de Caixa 2026 CTR]]</f>
        <v xml:space="preserve">4.2.04 Resgate de Consórcio </v>
      </c>
      <c r="C252" s="35">
        <f>Fluxo_de_Caixa_Janeiro[[#This Row],[Janeiro]]</f>
        <v>0</v>
      </c>
      <c r="D252" s="62">
        <f>Fluxo_de_Caixa_Janeiro3[[#This Row],[Fevereiro]]</f>
        <v>0</v>
      </c>
      <c r="E252" s="62">
        <f>Fluxo_de_Caixa_Janeiro34[[#This Row],[Março]]</f>
        <v>0</v>
      </c>
      <c r="F252" s="62">
        <f>Fluxo_de_Caixa_Janeiro345[[#This Row],[ABRIL]]</f>
        <v>0</v>
      </c>
      <c r="G252" s="62">
        <f>Fluxo_de_Caixa_Janeiro3459[[#This Row],[MAIO]]</f>
        <v>0</v>
      </c>
      <c r="H252" s="62">
        <f>Fluxo_de_Caixa_Janeiro345911[[#This Row],[JUNHO]]</f>
        <v>0</v>
      </c>
      <c r="I252" s="35"/>
      <c r="J252" s="62"/>
      <c r="K252" s="62"/>
      <c r="L252" s="62"/>
      <c r="M252" s="62"/>
      <c r="N252" s="119"/>
      <c r="O252" s="231">
        <f>SUM(Fluxo_de_Caixa_Janeiro310208[[#This Row],[Janeiro]:[Dezembro]])</f>
        <v>0</v>
      </c>
      <c r="P252" s="140" t="str">
        <f t="shared" si="14"/>
        <v>0,00%</v>
      </c>
      <c r="Q252" s="579">
        <v>7.4397005336964677E-3</v>
      </c>
      <c r="R252" s="32" t="str">
        <f>IF(Fluxo_de_Caixa_Janeiro310208[[#This Row],[% ACUMULADO  1º SEMEST 2026]]&gt;=Fluxo_de_Caixa_Janeiro310208[[#This Row],[% ACUMULADO  1º SEMEST 2025]],"VERDADEIRO","FALSO")</f>
        <v>VERDADEIRO</v>
      </c>
      <c r="T252" s="525">
        <v>46575.51</v>
      </c>
      <c r="U252" s="579">
        <v>7.4397005336964677E-3</v>
      </c>
    </row>
    <row r="253" spans="2:21" x14ac:dyDescent="0.25">
      <c r="B253" s="49" t="str">
        <f>Fluxo_de_Caixa_Janeiro[[#This Row],[Fluxo de Caixa 2026 CTR]]</f>
        <v>4.2.05 Venda de Ativo Imobilizado</v>
      </c>
      <c r="C253" s="35">
        <f>Fluxo_de_Caixa_Janeiro[[#This Row],[Janeiro]]</f>
        <v>0</v>
      </c>
      <c r="D253" s="62">
        <f>Fluxo_de_Caixa_Janeiro3[[#This Row],[Fevereiro]]</f>
        <v>0</v>
      </c>
      <c r="E253" s="62">
        <f>Fluxo_de_Caixa_Janeiro34[[#This Row],[Março]]</f>
        <v>0</v>
      </c>
      <c r="F253" s="62">
        <f>Fluxo_de_Caixa_Janeiro345[[#This Row],[ABRIL]]</f>
        <v>0</v>
      </c>
      <c r="G253" s="62">
        <f>Fluxo_de_Caixa_Janeiro3459[[#This Row],[MAIO]]</f>
        <v>0</v>
      </c>
      <c r="H253" s="62">
        <f>Fluxo_de_Caixa_Janeiro345911[[#This Row],[JUNHO]]</f>
        <v>0</v>
      </c>
      <c r="I253" s="35"/>
      <c r="J253" s="62"/>
      <c r="K253" s="62"/>
      <c r="L253" s="62"/>
      <c r="M253" s="62"/>
      <c r="N253" s="119"/>
      <c r="O253" s="231">
        <f>SUM(Fluxo_de_Caixa_Janeiro310208[[#This Row],[Janeiro]:[Dezembro]])</f>
        <v>0</v>
      </c>
      <c r="P253" s="140" t="str">
        <f t="shared" si="14"/>
        <v>0,00%</v>
      </c>
      <c r="Q253" s="579">
        <v>8.4499377083051396E-3</v>
      </c>
      <c r="R253" s="32" t="str">
        <f>IF(Fluxo_de_Caixa_Janeiro310208[[#This Row],[% ACUMULADO  1º SEMEST 2026]]&gt;=Fluxo_de_Caixa_Janeiro310208[[#This Row],[% ACUMULADO  1º SEMEST 2025]],"VERDADEIRO","FALSO")</f>
        <v>VERDADEIRO</v>
      </c>
      <c r="T253" s="525">
        <v>52900</v>
      </c>
      <c r="U253" s="579">
        <v>8.4499377083051396E-3</v>
      </c>
    </row>
    <row r="254" spans="2:21" x14ac:dyDescent="0.25">
      <c r="B254" s="49" t="str">
        <f>Fluxo_de_Caixa_Janeiro[[#This Row],[Fluxo de Caixa 2026 CTR]]</f>
        <v>4.2.06 Rendimentos CDB/Fundos/Alugueis</v>
      </c>
      <c r="C254" s="35">
        <f>Fluxo_de_Caixa_Janeiro[[#This Row],[Janeiro]]</f>
        <v>0.4</v>
      </c>
      <c r="D254" s="62">
        <f>Fluxo_de_Caixa_Janeiro3[[#This Row],[Fevereiro]]</f>
        <v>1.56</v>
      </c>
      <c r="E254" s="62">
        <f>Fluxo_de_Caixa_Janeiro34[[#This Row],[Março]]</f>
        <v>1.84</v>
      </c>
      <c r="F254" s="62">
        <f>Fluxo_de_Caixa_Janeiro345[[#This Row],[ABRIL]]</f>
        <v>550</v>
      </c>
      <c r="G254" s="62">
        <f>Fluxo_de_Caixa_Janeiro3459[[#This Row],[MAIO]]</f>
        <v>788.05</v>
      </c>
      <c r="H254" s="62">
        <f>Fluxo_de_Caixa_Janeiro345911[[#This Row],[JUNHO]]</f>
        <v>0</v>
      </c>
      <c r="I254" s="35"/>
      <c r="J254" s="62"/>
      <c r="K254" s="62"/>
      <c r="L254" s="62"/>
      <c r="M254" s="62"/>
      <c r="N254" s="119"/>
      <c r="O254" s="231">
        <f>SUM(Fluxo_de_Caixa_Janeiro310208[[#This Row],[Janeiro]:[Dezembro]])</f>
        <v>1341.85</v>
      </c>
      <c r="P254" s="140">
        <f t="shared" si="14"/>
        <v>2.453942201408808E-4</v>
      </c>
      <c r="Q254" s="579">
        <v>3.5946578107315482E-5</v>
      </c>
      <c r="R254" s="32" t="str">
        <f>IF(Fluxo_de_Caixa_Janeiro310208[[#This Row],[% ACUMULADO  1º SEMEST 2026]]&gt;=Fluxo_de_Caixa_Janeiro310208[[#This Row],[% ACUMULADO  1º SEMEST 2025]],"VERDADEIRO","FALSO")</f>
        <v>VERDADEIRO</v>
      </c>
      <c r="T254" s="525">
        <v>225.04000000000002</v>
      </c>
      <c r="U254" s="579">
        <v>3.5946578107315482E-5</v>
      </c>
    </row>
    <row r="255" spans="2:21" x14ac:dyDescent="0.25">
      <c r="B255" s="49" t="str">
        <f>Fluxo_de_Caixa_Janeiro[[#This Row],[Fluxo de Caixa 2026 CTR]]</f>
        <v>4.2.07 Resgate de Capital Social</v>
      </c>
      <c r="C255" s="35">
        <f>Fluxo_de_Caixa_Janeiro[[#This Row],[Janeiro]]</f>
        <v>0</v>
      </c>
      <c r="D255" s="62">
        <f>Fluxo_de_Caixa_Janeiro3[[#This Row],[Fevereiro]]</f>
        <v>0</v>
      </c>
      <c r="E255" s="62">
        <f>Fluxo_de_Caixa_Janeiro34[[#This Row],[Março]]</f>
        <v>0</v>
      </c>
      <c r="F255" s="62">
        <f>Fluxo_de_Caixa_Janeiro345[[#This Row],[ABRIL]]</f>
        <v>0</v>
      </c>
      <c r="G255" s="62">
        <f>Fluxo_de_Caixa_Janeiro3459[[#This Row],[MAIO]]</f>
        <v>0</v>
      </c>
      <c r="H255" s="62">
        <f>Fluxo_de_Caixa_Janeiro345911[[#This Row],[JUNHO]]</f>
        <v>0</v>
      </c>
      <c r="I255" s="35"/>
      <c r="J255" s="62"/>
      <c r="K255" s="62"/>
      <c r="L255" s="62"/>
      <c r="M255" s="62"/>
      <c r="N255" s="119"/>
      <c r="O255" s="231">
        <f>SUM(Fluxo_de_Caixa_Janeiro310208[[#This Row],[Janeiro]:[Dezembro]])</f>
        <v>0</v>
      </c>
      <c r="P255" s="140" t="str">
        <f t="shared" si="14"/>
        <v>0,00%</v>
      </c>
      <c r="Q255" s="579" t="s">
        <v>240</v>
      </c>
      <c r="R255" s="32" t="str">
        <f>IF(Fluxo_de_Caixa_Janeiro310208[[#This Row],[% ACUMULADO  1º SEMEST 2026]]&gt;=Fluxo_de_Caixa_Janeiro310208[[#This Row],[% ACUMULADO  1º SEMEST 2025]],"VERDADEIRO","FALSO")</f>
        <v>VERDADEIRO</v>
      </c>
      <c r="T255" s="525">
        <v>0</v>
      </c>
      <c r="U255" s="579" t="s">
        <v>240</v>
      </c>
    </row>
    <row r="256" spans="2:21" x14ac:dyDescent="0.25">
      <c r="B256" s="49" t="str">
        <f>Fluxo_de_Caixa_Janeiro[[#This Row],[Fluxo de Caixa 2026 CTR]]</f>
        <v xml:space="preserve">4.2.08.INVESTIMENTO EMPRESAS DO MESMO </v>
      </c>
      <c r="C256" s="35">
        <f>Fluxo_de_Caixa_Janeiro[[#This Row],[Janeiro]]</f>
        <v>0</v>
      </c>
      <c r="D256" s="62">
        <f>Fluxo_de_Caixa_Janeiro3[[#This Row],[Fevereiro]]</f>
        <v>0</v>
      </c>
      <c r="E256" s="62">
        <f>Fluxo_de_Caixa_Janeiro34[[#This Row],[Março]]</f>
        <v>0</v>
      </c>
      <c r="F256" s="62">
        <f>Fluxo_de_Caixa_Janeiro345[[#This Row],[ABRIL]]</f>
        <v>0</v>
      </c>
      <c r="G256" s="62">
        <f>Fluxo_de_Caixa_Janeiro3459[[#This Row],[MAIO]]</f>
        <v>0</v>
      </c>
      <c r="H256" s="62">
        <f>Fluxo_de_Caixa_Janeiro345911[[#This Row],[JUNHO]]</f>
        <v>0</v>
      </c>
      <c r="I256" s="35"/>
      <c r="J256" s="62"/>
      <c r="K256" s="62"/>
      <c r="L256" s="62"/>
      <c r="M256" s="62"/>
      <c r="N256" s="119"/>
      <c r="O256" s="231">
        <f>SUM(Fluxo_de_Caixa_Janeiro310208[[#This Row],[Janeiro]:[Dezembro]])</f>
        <v>0</v>
      </c>
      <c r="P256" s="140" t="str">
        <f t="shared" si="14"/>
        <v>0,00%</v>
      </c>
      <c r="Q256" s="579" t="s">
        <v>240</v>
      </c>
      <c r="R256" s="32" t="str">
        <f>IF(Fluxo_de_Caixa_Janeiro310208[[#This Row],[% ACUMULADO  1º SEMEST 2026]]&gt;=Fluxo_de_Caixa_Janeiro310208[[#This Row],[% ACUMULADO  1º SEMEST 2025]],"VERDADEIRO","FALSO")</f>
        <v>VERDADEIRO</v>
      </c>
      <c r="T256" s="525">
        <v>0</v>
      </c>
      <c r="U256" s="579" t="s">
        <v>240</v>
      </c>
    </row>
    <row r="257" spans="2:21" ht="15.75" thickBot="1" x14ac:dyDescent="0.3">
      <c r="B257" s="49" t="str">
        <f>Fluxo_de_Caixa_Janeiro[[#This Row],[Fluxo de Caixa 2026 CTR]]</f>
        <v>4.2.09.APORTE DE CAPITAL SOCIAL</v>
      </c>
      <c r="C257" s="35">
        <f>Fluxo_de_Caixa_Janeiro[[#This Row],[Janeiro]]</f>
        <v>0</v>
      </c>
      <c r="D257" s="62">
        <f>Fluxo_de_Caixa_Janeiro3[[#This Row],[Fevereiro]]</f>
        <v>0</v>
      </c>
      <c r="E257" s="62">
        <f>Fluxo_de_Caixa_Janeiro34[[#This Row],[Março]]</f>
        <v>0</v>
      </c>
      <c r="F257" s="62">
        <f>Fluxo_de_Caixa_Janeiro345[[#This Row],[ABRIL]]</f>
        <v>0</v>
      </c>
      <c r="G257" s="62">
        <f>Fluxo_de_Caixa_Janeiro3459[[#This Row],[MAIO]]</f>
        <v>0</v>
      </c>
      <c r="H257" s="62">
        <f>Fluxo_de_Caixa_Janeiro345911[[#This Row],[JUNHO]]</f>
        <v>0</v>
      </c>
      <c r="I257" s="35"/>
      <c r="J257" s="62"/>
      <c r="K257" s="62"/>
      <c r="L257" s="62"/>
      <c r="M257" s="62"/>
      <c r="N257" s="119"/>
      <c r="O257" s="231">
        <f>SUM(Fluxo_de_Caixa_Janeiro310208[[#This Row],[Janeiro]:[Dezembro]])</f>
        <v>0</v>
      </c>
      <c r="P257" s="140" t="str">
        <f t="shared" si="14"/>
        <v>0,00%</v>
      </c>
      <c r="Q257" s="579" t="s">
        <v>240</v>
      </c>
      <c r="R257" s="32" t="str">
        <f>IF(Fluxo_de_Caixa_Janeiro310208[[#This Row],[% ACUMULADO  1º SEMEST 2026]]&gt;=Fluxo_de_Caixa_Janeiro310208[[#This Row],[% ACUMULADO  1º SEMEST 2025]],"VERDADEIRO","FALSO")</f>
        <v>VERDADEIRO</v>
      </c>
      <c r="T257" s="525">
        <v>0</v>
      </c>
      <c r="U257" s="579" t="s">
        <v>240</v>
      </c>
    </row>
    <row r="258" spans="2:21" hidden="1" x14ac:dyDescent="0.25">
      <c r="B258" s="49">
        <f>Fluxo_de_Caixa_Janeiro[[#This Row],[Fluxo de Caixa 2026 CTR]]</f>
        <v>0</v>
      </c>
      <c r="C258" s="35">
        <f>Fluxo_de_Caixa_Janeiro[[#This Row],[Janeiro]]</f>
        <v>0</v>
      </c>
      <c r="D258" s="62">
        <f>Fluxo_de_Caixa_Janeiro3[[#This Row],[Fevereiro]]</f>
        <v>0</v>
      </c>
      <c r="E258" s="62">
        <f>Fluxo_de_Caixa_Janeiro34[[#This Row],[Março]]</f>
        <v>0</v>
      </c>
      <c r="F258" s="62">
        <f>Fluxo_de_Caixa_Janeiro345[[#This Row],[ABRIL]]</f>
        <v>0</v>
      </c>
      <c r="G258" s="62">
        <f>Fluxo_de_Caixa_Janeiro3459[[#This Row],[MAIO]]</f>
        <v>0</v>
      </c>
      <c r="H258" s="62">
        <f>Fluxo_de_Caixa_Janeiro345911[[#This Row],[JUNHO]]</f>
        <v>0</v>
      </c>
      <c r="I258" s="35"/>
      <c r="J258" s="62"/>
      <c r="K258" s="62"/>
      <c r="L258" s="62"/>
      <c r="M258" s="62"/>
      <c r="N258" s="119"/>
      <c r="O258" s="231">
        <f>SUM(Fluxo_de_Caixa_Janeiro310208[[#This Row],[Janeiro]:[Dezembro]])</f>
        <v>0</v>
      </c>
      <c r="P258" s="140" t="str">
        <f t="shared" si="14"/>
        <v>0,00%</v>
      </c>
      <c r="Q258" s="579" t="s">
        <v>240</v>
      </c>
      <c r="R258" s="32" t="str">
        <f>IF(Fluxo_de_Caixa_Janeiro310208[[#This Row],[% ACUMULADO  1º SEMEST 2026]]&gt;=Fluxo_de_Caixa_Janeiro310208[[#This Row],[% ACUMULADO  1º SEMEST 2025]],"VERDADEIRO","FALSO")</f>
        <v>VERDADEIRO</v>
      </c>
      <c r="T258" s="525">
        <v>0</v>
      </c>
      <c r="U258" s="579" t="s">
        <v>240</v>
      </c>
    </row>
    <row r="259" spans="2:21" hidden="1" x14ac:dyDescent="0.25">
      <c r="B259" s="49">
        <f>Fluxo_de_Caixa_Janeiro[[#This Row],[Fluxo de Caixa 2026 CTR]]</f>
        <v>0</v>
      </c>
      <c r="C259" s="35">
        <f>Fluxo_de_Caixa_Janeiro[[#This Row],[Janeiro]]</f>
        <v>0</v>
      </c>
      <c r="D259" s="62">
        <f>Fluxo_de_Caixa_Janeiro3[[#This Row],[Fevereiro]]</f>
        <v>0</v>
      </c>
      <c r="E259" s="62">
        <f>Fluxo_de_Caixa_Janeiro34[[#This Row],[Março]]</f>
        <v>0</v>
      </c>
      <c r="F259" s="62">
        <f>Fluxo_de_Caixa_Janeiro345[[#This Row],[ABRIL]]</f>
        <v>0</v>
      </c>
      <c r="G259" s="62">
        <f>Fluxo_de_Caixa_Janeiro3459[[#This Row],[MAIO]]</f>
        <v>0</v>
      </c>
      <c r="H259" s="62">
        <f>Fluxo_de_Caixa_Janeiro345911[[#This Row],[JUNHO]]</f>
        <v>0</v>
      </c>
      <c r="I259" s="35"/>
      <c r="J259" s="62"/>
      <c r="K259" s="62"/>
      <c r="L259" s="62"/>
      <c r="M259" s="62"/>
      <c r="N259" s="119"/>
      <c r="O259" s="231">
        <f>SUM(Fluxo_de_Caixa_Janeiro310208[[#This Row],[Janeiro]:[Dezembro]])</f>
        <v>0</v>
      </c>
      <c r="P259" s="140" t="str">
        <f t="shared" si="14"/>
        <v>0,00%</v>
      </c>
      <c r="Q259" s="579" t="s">
        <v>240</v>
      </c>
      <c r="R259" s="32" t="str">
        <f>IF(Fluxo_de_Caixa_Janeiro310208[[#This Row],[% ACUMULADO  1º SEMEST 2026]]&gt;=Fluxo_de_Caixa_Janeiro310208[[#This Row],[% ACUMULADO  1º SEMEST 2025]],"VERDADEIRO","FALSO")</f>
        <v>VERDADEIRO</v>
      </c>
      <c r="T259" s="525">
        <v>0</v>
      </c>
      <c r="U259" s="579" t="s">
        <v>240</v>
      </c>
    </row>
    <row r="260" spans="2:21" ht="15.75" hidden="1" thickBot="1" x14ac:dyDescent="0.3">
      <c r="B260" s="56">
        <f>Fluxo_de_Caixa_Janeiro[[#This Row],[Fluxo de Caixa 2026 CTR]]</f>
        <v>0</v>
      </c>
      <c r="C260" s="36">
        <f>Fluxo_de_Caixa_Janeiro[[#This Row],[Janeiro]]</f>
        <v>0</v>
      </c>
      <c r="D260" s="82">
        <f>Fluxo_de_Caixa_Janeiro3[[#This Row],[Fevereiro]]</f>
        <v>0</v>
      </c>
      <c r="E260" s="82">
        <f>Fluxo_de_Caixa_Janeiro34[[#This Row],[Março]]</f>
        <v>0</v>
      </c>
      <c r="F260" s="82">
        <f>Fluxo_de_Caixa_Janeiro345[[#This Row],[ABRIL]]</f>
        <v>0</v>
      </c>
      <c r="G260" s="82">
        <f>Fluxo_de_Caixa_Janeiro3459[[#This Row],[MAIO]]</f>
        <v>0</v>
      </c>
      <c r="H260" s="82">
        <f>Fluxo_de_Caixa_Janeiro345911[[#This Row],[JUNHO]]</f>
        <v>0</v>
      </c>
      <c r="I260" s="36"/>
      <c r="J260" s="82"/>
      <c r="K260" s="82"/>
      <c r="L260" s="82"/>
      <c r="M260" s="82"/>
      <c r="N260" s="120"/>
      <c r="O260" s="232">
        <f>SUM(Fluxo_de_Caixa_Janeiro310208[[#This Row],[Janeiro]:[Dezembro]])</f>
        <v>0</v>
      </c>
      <c r="P260" s="141" t="str">
        <f t="shared" si="14"/>
        <v>0,00%</v>
      </c>
      <c r="Q260" s="580" t="s">
        <v>240</v>
      </c>
      <c r="R260" s="32" t="str">
        <f>IF(Fluxo_de_Caixa_Janeiro310208[[#This Row],[% ACUMULADO  1º SEMEST 2026]]&gt;=Fluxo_de_Caixa_Janeiro310208[[#This Row],[% ACUMULADO  1º SEMEST 2025]],"VERDADEIRO","FALSO")</f>
        <v>VERDADEIRO</v>
      </c>
      <c r="T260" s="526">
        <v>0</v>
      </c>
      <c r="U260" s="580" t="s">
        <v>240</v>
      </c>
    </row>
    <row r="261" spans="2:21" s="1" customFormat="1" ht="24" thickBot="1" x14ac:dyDescent="0.4">
      <c r="B261" s="48" t="str">
        <f>Fluxo_de_Caixa_Janeiro[[#This Row],[Fluxo de Caixa 2026 CTR]]</f>
        <v>4.3. Receitas Financeiras</v>
      </c>
      <c r="C261" s="38">
        <f>Fluxo_de_Caixa_Janeiro[[#This Row],[Janeiro]]</f>
        <v>1301.58</v>
      </c>
      <c r="D261" s="87">
        <f>Fluxo_de_Caixa_Janeiro3[[#This Row],[Fevereiro]]</f>
        <v>72.010000000000005</v>
      </c>
      <c r="E261" s="87">
        <f>Fluxo_de_Caixa_Janeiro34[[#This Row],[Março]]</f>
        <v>430.38</v>
      </c>
      <c r="F261" s="87">
        <f>Fluxo_de_Caixa_Janeiro345[[#This Row],[ABRIL]]</f>
        <v>550</v>
      </c>
      <c r="G261" s="87">
        <f>Fluxo_de_Caixa_Janeiro3459[[#This Row],[MAIO]]</f>
        <v>0</v>
      </c>
      <c r="H261" s="87">
        <f>Fluxo_de_Caixa_Janeiro345911[[#This Row],[JUNHO]]</f>
        <v>0</v>
      </c>
      <c r="I261" s="38"/>
      <c r="J261" s="87"/>
      <c r="K261" s="87"/>
      <c r="L261" s="87"/>
      <c r="M261" s="87"/>
      <c r="N261" s="125"/>
      <c r="O261" s="216">
        <f>SUM(Fluxo_de_Caixa_Janeiro310208[[#This Row],[Janeiro]:[Dezembro]])</f>
        <v>2353.9699999999998</v>
      </c>
      <c r="P261" s="247">
        <f t="shared" si="14"/>
        <v>4.3048823071507934E-4</v>
      </c>
      <c r="Q261" s="598">
        <v>1.1791576590304074E-4</v>
      </c>
      <c r="R261" s="32" t="str">
        <f>IF(Fluxo_de_Caixa_Janeiro310208[[#This Row],[% ACUMULADO  1º SEMEST 2026]]&gt;=Fluxo_de_Caixa_Janeiro310208[[#This Row],[% ACUMULADO  1º SEMEST 2025]],"VERDADEIRO","FALSO")</f>
        <v>VERDADEIRO</v>
      </c>
      <c r="T261" s="507">
        <v>738.2</v>
      </c>
      <c r="U261" s="598">
        <v>1.1791576590304074E-4</v>
      </c>
    </row>
    <row r="262" spans="2:21" x14ac:dyDescent="0.25">
      <c r="B262" s="49" t="str">
        <f>Fluxo_de_Caixa_Janeiro[[#This Row],[Fluxo de Caixa 2026 CTR]]</f>
        <v>4.3.01. JUROS E MULTAS RECEBIDOS</v>
      </c>
      <c r="C262" s="41">
        <f>Fluxo_de_Caixa_Janeiro[[#This Row],[Janeiro]]</f>
        <v>0</v>
      </c>
      <c r="D262" s="81">
        <f>Fluxo_de_Caixa_Janeiro3[[#This Row],[Fevereiro]]</f>
        <v>0</v>
      </c>
      <c r="E262" s="81">
        <f>Fluxo_de_Caixa_Janeiro34[[#This Row],[Março]]</f>
        <v>0</v>
      </c>
      <c r="F262" s="81">
        <f>Fluxo_de_Caixa_Janeiro345[[#This Row],[ABRIL]]</f>
        <v>0</v>
      </c>
      <c r="G262" s="81">
        <f>Fluxo_de_Caixa_Janeiro3459[[#This Row],[MAIO]]</f>
        <v>0</v>
      </c>
      <c r="H262" s="81">
        <f>Fluxo_de_Caixa_Janeiro345911[[#This Row],[JUNHO]]</f>
        <v>0</v>
      </c>
      <c r="I262" s="41"/>
      <c r="J262" s="81"/>
      <c r="K262" s="81"/>
      <c r="L262" s="81"/>
      <c r="M262" s="81"/>
      <c r="N262" s="118"/>
      <c r="O262" s="230">
        <f>SUM(Fluxo_de_Caixa_Janeiro310208[[#This Row],[Janeiro]:[Dezembro]])</f>
        <v>0</v>
      </c>
      <c r="P262" s="29" t="str">
        <f t="shared" si="14"/>
        <v>0,00%</v>
      </c>
      <c r="Q262" s="578" t="s">
        <v>240</v>
      </c>
      <c r="R262" s="32" t="str">
        <f>IF(Fluxo_de_Caixa_Janeiro310208[[#This Row],[% ACUMULADO  1º SEMEST 2026]]&gt;=Fluxo_de_Caixa_Janeiro310208[[#This Row],[% ACUMULADO  1º SEMEST 2025]],"VERDADEIRO","FALSO")</f>
        <v>VERDADEIRO</v>
      </c>
      <c r="T262" s="524">
        <v>0</v>
      </c>
      <c r="U262" s="578" t="s">
        <v>240</v>
      </c>
    </row>
    <row r="263" spans="2:21" x14ac:dyDescent="0.25">
      <c r="B263" s="50" t="str">
        <f>Fluxo_de_Caixa_Janeiro[[#This Row],[Fluxo de Caixa 2026 CTR]]</f>
        <v>4.3.02. SOBRA ACERTO CAIXA</v>
      </c>
      <c r="C263" s="35">
        <f>Fluxo_de_Caixa_Janeiro[[#This Row],[Janeiro]]</f>
        <v>0</v>
      </c>
      <c r="D263" s="62">
        <f>Fluxo_de_Caixa_Janeiro3[[#This Row],[Fevereiro]]</f>
        <v>0</v>
      </c>
      <c r="E263" s="62">
        <f>Fluxo_de_Caixa_Janeiro34[[#This Row],[Março]]</f>
        <v>0</v>
      </c>
      <c r="F263" s="62">
        <f>Fluxo_de_Caixa_Janeiro345[[#This Row],[ABRIL]]</f>
        <v>0</v>
      </c>
      <c r="G263" s="62">
        <f>Fluxo_de_Caixa_Janeiro3459[[#This Row],[MAIO]]</f>
        <v>0</v>
      </c>
      <c r="H263" s="62">
        <f>Fluxo_de_Caixa_Janeiro345911[[#This Row],[JUNHO]]</f>
        <v>0</v>
      </c>
      <c r="I263" s="35"/>
      <c r="J263" s="62"/>
      <c r="K263" s="62"/>
      <c r="L263" s="62"/>
      <c r="M263" s="62"/>
      <c r="N263" s="119"/>
      <c r="O263" s="231">
        <f>SUM(Fluxo_de_Caixa_Janeiro310208[[#This Row],[Janeiro]:[Dezembro]])</f>
        <v>0</v>
      </c>
      <c r="P263" s="140" t="str">
        <f t="shared" si="14"/>
        <v>0,00%</v>
      </c>
      <c r="Q263" s="579" t="s">
        <v>240</v>
      </c>
      <c r="R263" s="32" t="str">
        <f>IF(Fluxo_de_Caixa_Janeiro310208[[#This Row],[% ACUMULADO  1º SEMEST 2026]]&gt;=Fluxo_de_Caixa_Janeiro310208[[#This Row],[% ACUMULADO  1º SEMEST 2025]],"VERDADEIRO","FALSO")</f>
        <v>VERDADEIRO</v>
      </c>
      <c r="T263" s="525">
        <v>0</v>
      </c>
      <c r="U263" s="579" t="s">
        <v>240</v>
      </c>
    </row>
    <row r="264" spans="2:21" x14ac:dyDescent="0.25">
      <c r="B264" s="50" t="str">
        <f>Fluxo_de_Caixa_Janeiro[[#This Row],[Fluxo de Caixa 2026 CTR]]</f>
        <v>4.3.03. DESCONTOS OBTIDOS</v>
      </c>
      <c r="C264" s="35">
        <f>Fluxo_de_Caixa_Janeiro[[#This Row],[Janeiro]]</f>
        <v>0</v>
      </c>
      <c r="D264" s="62">
        <f>Fluxo_de_Caixa_Janeiro3[[#This Row],[Fevereiro]]</f>
        <v>0</v>
      </c>
      <c r="E264" s="62">
        <f>Fluxo_de_Caixa_Janeiro34[[#This Row],[Março]]</f>
        <v>0</v>
      </c>
      <c r="F264" s="62">
        <f>Fluxo_de_Caixa_Janeiro345[[#This Row],[ABRIL]]</f>
        <v>0</v>
      </c>
      <c r="G264" s="62">
        <f>Fluxo_de_Caixa_Janeiro3459[[#This Row],[MAIO]]</f>
        <v>0</v>
      </c>
      <c r="H264" s="62">
        <f>Fluxo_de_Caixa_Janeiro345911[[#This Row],[JUNHO]]</f>
        <v>0</v>
      </c>
      <c r="I264" s="35"/>
      <c r="J264" s="62"/>
      <c r="K264" s="62"/>
      <c r="L264" s="62"/>
      <c r="M264" s="62"/>
      <c r="N264" s="119"/>
      <c r="O264" s="231">
        <f>SUM(Fluxo_de_Caixa_Janeiro310208[[#This Row],[Janeiro]:[Dezembro]])</f>
        <v>0</v>
      </c>
      <c r="P264" s="140" t="str">
        <f t="shared" si="14"/>
        <v>0,00%</v>
      </c>
      <c r="Q264" s="579" t="s">
        <v>240</v>
      </c>
      <c r="R264" s="32" t="str">
        <f>IF(Fluxo_de_Caixa_Janeiro310208[[#This Row],[% ACUMULADO  1º SEMEST 2026]]&gt;=Fluxo_de_Caixa_Janeiro310208[[#This Row],[% ACUMULADO  1º SEMEST 2025]],"VERDADEIRO","FALSO")</f>
        <v>VERDADEIRO</v>
      </c>
      <c r="T264" s="525">
        <v>0</v>
      </c>
      <c r="U264" s="579" t="s">
        <v>240</v>
      </c>
    </row>
    <row r="265" spans="2:21" x14ac:dyDescent="0.25">
      <c r="B265" s="50" t="str">
        <f>Fluxo_de_Caixa_Janeiro[[#This Row],[Fluxo de Caixa 2026 CTR]]</f>
        <v>4.3.04. OUTRAS RECEITAS FINANCEIRAS</v>
      </c>
      <c r="C265" s="35">
        <f>Fluxo_de_Caixa_Janeiro[[#This Row],[Janeiro]]</f>
        <v>0</v>
      </c>
      <c r="D265" s="62">
        <f>Fluxo_de_Caixa_Janeiro3[[#This Row],[Fevereiro]]</f>
        <v>0</v>
      </c>
      <c r="E265" s="62">
        <f>Fluxo_de_Caixa_Janeiro34[[#This Row],[Março]]</f>
        <v>0</v>
      </c>
      <c r="F265" s="62">
        <f>Fluxo_de_Caixa_Janeiro345[[#This Row],[ABRIL]]</f>
        <v>0</v>
      </c>
      <c r="G265" s="62">
        <f>Fluxo_de_Caixa_Janeiro3459[[#This Row],[MAIO]]</f>
        <v>0</v>
      </c>
      <c r="H265" s="62">
        <f>Fluxo_de_Caixa_Janeiro345911[[#This Row],[JUNHO]]</f>
        <v>0</v>
      </c>
      <c r="I265" s="35"/>
      <c r="J265" s="62"/>
      <c r="K265" s="62"/>
      <c r="L265" s="62"/>
      <c r="M265" s="62"/>
      <c r="N265" s="119"/>
      <c r="O265" s="231">
        <f>SUM(Fluxo_de_Caixa_Janeiro310208[[#This Row],[Janeiro]:[Dezembro]])</f>
        <v>0</v>
      </c>
      <c r="P265" s="140" t="str">
        <f t="shared" si="14"/>
        <v>0,00%</v>
      </c>
      <c r="Q265" s="579" t="s">
        <v>240</v>
      </c>
      <c r="R265" s="32" t="str">
        <f>IF(Fluxo_de_Caixa_Janeiro310208[[#This Row],[% ACUMULADO  1º SEMEST 2026]]&gt;=Fluxo_de_Caixa_Janeiro310208[[#This Row],[% ACUMULADO  1º SEMEST 2025]],"VERDADEIRO","FALSO")</f>
        <v>VERDADEIRO</v>
      </c>
      <c r="T265" s="525">
        <v>0</v>
      </c>
      <c r="U265" s="579" t="s">
        <v>240</v>
      </c>
    </row>
    <row r="266" spans="2:21" x14ac:dyDescent="0.25">
      <c r="B266" s="393" t="str">
        <f>Fluxo_de_Caixa_Janeiro[[#This Row],[Fluxo de Caixa 2026 CTR]]</f>
        <v>4.3.05. RECEITA DE BRINDE E EXPOSITORES</v>
      </c>
      <c r="C266" s="357">
        <f>Fluxo_de_Caixa_Janeiro[[#This Row],[Janeiro]]</f>
        <v>0</v>
      </c>
      <c r="D266" s="306">
        <f>Fluxo_de_Caixa_Janeiro3[[#This Row],[Fevereiro]]</f>
        <v>0</v>
      </c>
      <c r="E266" s="306">
        <f>Fluxo_de_Caixa_Janeiro34[[#This Row],[Março]]</f>
        <v>0</v>
      </c>
      <c r="F266" s="306">
        <f>Fluxo_de_Caixa_Janeiro345[[#This Row],[ABRIL]]</f>
        <v>0</v>
      </c>
      <c r="G266" s="306">
        <f>Fluxo_de_Caixa_Janeiro3459[[#This Row],[MAIO]]</f>
        <v>0</v>
      </c>
      <c r="H266" s="306">
        <f>Fluxo_de_Caixa_Janeiro345911[[#This Row],[JUNHO]]</f>
        <v>0</v>
      </c>
      <c r="I266" s="357"/>
      <c r="J266" s="306"/>
      <c r="K266" s="306"/>
      <c r="L266" s="306"/>
      <c r="M266" s="306"/>
      <c r="N266" s="360"/>
      <c r="O266" s="231">
        <f>SUM(Fluxo_de_Caixa_Janeiro310208[[#This Row],[Janeiro]:[Dezembro]])</f>
        <v>0</v>
      </c>
      <c r="P266" s="140" t="str">
        <f t="shared" si="14"/>
        <v>0,00%</v>
      </c>
      <c r="Q266" s="579" t="s">
        <v>240</v>
      </c>
      <c r="R266" s="32"/>
      <c r="T266" s="525">
        <v>0</v>
      </c>
      <c r="U266" s="579" t="s">
        <v>240</v>
      </c>
    </row>
    <row r="267" spans="2:21" hidden="1" x14ac:dyDescent="0.25">
      <c r="B267" s="364">
        <f>Fluxo_de_Caixa_Janeiro[[#This Row],[Fluxo de Caixa 2026 CTR]]</f>
        <v>0</v>
      </c>
      <c r="C267" s="357">
        <f>Fluxo_de_Caixa_Janeiro[[#This Row],[Janeiro]]</f>
        <v>0</v>
      </c>
      <c r="D267" s="306">
        <f>Fluxo_de_Caixa_Janeiro3[[#This Row],[Fevereiro]]</f>
        <v>0</v>
      </c>
      <c r="E267" s="306">
        <f>Fluxo_de_Caixa_Janeiro34[[#This Row],[Março]]</f>
        <v>0</v>
      </c>
      <c r="F267" s="306">
        <f>Fluxo_de_Caixa_Janeiro345[[#This Row],[ABRIL]]</f>
        <v>0</v>
      </c>
      <c r="G267" s="306">
        <f>Fluxo_de_Caixa_Janeiro3459[[#This Row],[MAIO]]</f>
        <v>0</v>
      </c>
      <c r="H267" s="306">
        <f>Fluxo_de_Caixa_Janeiro345911[[#This Row],[JUNHO]]</f>
        <v>0</v>
      </c>
      <c r="I267" s="357"/>
      <c r="J267" s="306"/>
      <c r="K267" s="306"/>
      <c r="L267" s="306"/>
      <c r="M267" s="306"/>
      <c r="N267" s="360"/>
      <c r="O267" s="231">
        <f>SUM(Fluxo_de_Caixa_Janeiro310208[[#This Row],[Janeiro]:[Dezembro]])</f>
        <v>0</v>
      </c>
      <c r="P267" s="140" t="str">
        <f t="shared" si="14"/>
        <v>0,00%</v>
      </c>
      <c r="Q267" s="579" t="s">
        <v>240</v>
      </c>
      <c r="R267" s="32"/>
      <c r="T267" s="525">
        <v>0</v>
      </c>
      <c r="U267" s="579" t="s">
        <v>240</v>
      </c>
    </row>
    <row r="268" spans="2:21" x14ac:dyDescent="0.25">
      <c r="B268" s="364" t="str">
        <f>Fluxo_de_Caixa_Janeiro[[#This Row],[Fluxo de Caixa 2026 CTR]]</f>
        <v>4.3.07. RECEITA NÃO IDENTIFICADA</v>
      </c>
      <c r="C268" s="357">
        <f>Fluxo_de_Caixa_Janeiro[[#This Row],[Janeiro]]</f>
        <v>1301.58</v>
      </c>
      <c r="D268" s="306">
        <f>Fluxo_de_Caixa_Janeiro3[[#This Row],[Fevereiro]]</f>
        <v>72.010000000000005</v>
      </c>
      <c r="E268" s="306">
        <f>Fluxo_de_Caixa_Janeiro34[[#This Row],[Março]]</f>
        <v>580.38</v>
      </c>
      <c r="F268" s="306">
        <f>Fluxo_de_Caixa_Janeiro345[[#This Row],[ABRIL]]</f>
        <v>0</v>
      </c>
      <c r="G268" s="306">
        <f>Fluxo_de_Caixa_Janeiro3459[[#This Row],[MAIO]]</f>
        <v>0</v>
      </c>
      <c r="H268" s="306">
        <f>Fluxo_de_Caixa_Janeiro345911[[#This Row],[JUNHO]]</f>
        <v>0</v>
      </c>
      <c r="I268" s="357"/>
      <c r="J268" s="306"/>
      <c r="K268" s="306"/>
      <c r="L268" s="306"/>
      <c r="M268" s="306"/>
      <c r="N268" s="360"/>
      <c r="O268" s="231">
        <f>SUM(Fluxo_de_Caixa_Janeiro310208[[#This Row],[Janeiro]:[Dezembro]])</f>
        <v>1953.9699999999998</v>
      </c>
      <c r="P268" s="140">
        <f t="shared" si="14"/>
        <v>3.5733721677436143E-4</v>
      </c>
      <c r="Q268" s="579">
        <v>1.1232506987675189E-4</v>
      </c>
      <c r="R268" s="32"/>
      <c r="T268" s="525">
        <v>703.2</v>
      </c>
      <c r="U268" s="579">
        <v>1.1232506987675189E-4</v>
      </c>
    </row>
    <row r="269" spans="2:21" x14ac:dyDescent="0.25">
      <c r="B269" s="364" t="str">
        <f>Fluxo_de_Caixa_Janeiro[[#This Row],[Fluxo de Caixa 2026 CTR]]</f>
        <v>4.3.08. DESPESAS NÃO IDENTIFICADAS ( - )</v>
      </c>
      <c r="C269" s="357">
        <f>Fluxo_de_Caixa_Janeiro[[#This Row],[Janeiro]]</f>
        <v>0</v>
      </c>
      <c r="D269" s="306">
        <f>Fluxo_de_Caixa_Janeiro3[[#This Row],[Fevereiro]]</f>
        <v>0</v>
      </c>
      <c r="E269" s="306">
        <f>Fluxo_de_Caixa_Janeiro34[[#This Row],[Março]]</f>
        <v>-150</v>
      </c>
      <c r="F269" s="306">
        <f>Fluxo_de_Caixa_Janeiro345[[#This Row],[ABRIL]]</f>
        <v>0</v>
      </c>
      <c r="G269" s="306">
        <f>Fluxo_de_Caixa_Janeiro3459[[#This Row],[MAIO]]</f>
        <v>0</v>
      </c>
      <c r="H269" s="306">
        <f>Fluxo_de_Caixa_Janeiro345911[[#This Row],[JUNHO]]</f>
        <v>0</v>
      </c>
      <c r="I269" s="357"/>
      <c r="J269" s="306"/>
      <c r="K269" s="306"/>
      <c r="L269" s="306"/>
      <c r="M269" s="306"/>
      <c r="N269" s="360"/>
      <c r="O269" s="231">
        <f>SUM(Fluxo_de_Caixa_Janeiro310208[[#This Row],[Janeiro]:[Dezembro]])</f>
        <v>-150</v>
      </c>
      <c r="P269" s="140">
        <f t="shared" si="14"/>
        <v>-2.7431630227769218E-5</v>
      </c>
      <c r="Q269" s="579">
        <v>5.5906960262888453E-6</v>
      </c>
      <c r="R269" s="32"/>
      <c r="T269" s="525">
        <v>35</v>
      </c>
      <c r="U269" s="579">
        <v>5.5906960262888453E-6</v>
      </c>
    </row>
    <row r="270" spans="2:21" x14ac:dyDescent="0.25">
      <c r="B270" s="393" t="str">
        <f>Fluxo_de_Caixa_Janeiro[[#This Row],[Fluxo de Caixa 2026 CTR]]</f>
        <v>4.3.09. PATROCÍNIO  EM DINHEIRO</v>
      </c>
      <c r="C270" s="358">
        <f>Fluxo_de_Caixa_Janeiro[[#This Row],[Janeiro]]</f>
        <v>0</v>
      </c>
      <c r="D270" s="359">
        <f>Fluxo_de_Caixa_Janeiro3[[#This Row],[Fevereiro]]</f>
        <v>0</v>
      </c>
      <c r="E270" s="359">
        <f>Fluxo_de_Caixa_Janeiro34[[#This Row],[Março]]</f>
        <v>0</v>
      </c>
      <c r="F270" s="359">
        <f>Fluxo_de_Caixa_Janeiro345[[#This Row],[ABRIL]]</f>
        <v>550</v>
      </c>
      <c r="G270" s="359">
        <f>Fluxo_de_Caixa_Janeiro3459[[#This Row],[MAIO]]</f>
        <v>0</v>
      </c>
      <c r="H270" s="359">
        <f>Fluxo_de_Caixa_Janeiro345911[[#This Row],[JUNHO]]</f>
        <v>0</v>
      </c>
      <c r="I270" s="358"/>
      <c r="J270" s="359"/>
      <c r="K270" s="359"/>
      <c r="L270" s="359"/>
      <c r="M270" s="359"/>
      <c r="N270" s="361"/>
      <c r="O270" s="231">
        <f>SUM(Fluxo_de_Caixa_Janeiro310208[[#This Row],[Janeiro]:[Dezembro]])</f>
        <v>550</v>
      </c>
      <c r="P270" s="140">
        <f t="shared" si="14"/>
        <v>1.0058264416848714E-4</v>
      </c>
      <c r="Q270" s="579" t="s">
        <v>240</v>
      </c>
      <c r="R270" s="32"/>
      <c r="T270" s="525">
        <v>0</v>
      </c>
      <c r="U270" s="579" t="s">
        <v>240</v>
      </c>
    </row>
    <row r="271" spans="2:21" ht="15.75" thickBot="1" x14ac:dyDescent="0.3">
      <c r="B271" s="393" t="str">
        <f>Fluxo_de_Caixa_Janeiro[[#This Row],[Fluxo de Caixa 2026 CTR]]</f>
        <v>4.3.10. BONIFICAÇÃO EM PRODUTOS</v>
      </c>
      <c r="C271" s="358">
        <f>Fluxo_de_Caixa_Janeiro[[#This Row],[Janeiro]]</f>
        <v>0</v>
      </c>
      <c r="D271" s="359">
        <f>Fluxo_de_Caixa_Janeiro3[[#This Row],[Fevereiro]]</f>
        <v>0</v>
      </c>
      <c r="E271" s="359">
        <f>Fluxo_de_Caixa_Janeiro34[[#This Row],[Março]]</f>
        <v>0</v>
      </c>
      <c r="F271" s="359">
        <f>Fluxo_de_Caixa_Janeiro345[[#This Row],[ABRIL]]</f>
        <v>0</v>
      </c>
      <c r="G271" s="359">
        <f>Fluxo_de_Caixa_Janeiro3459[[#This Row],[MAIO]]</f>
        <v>0</v>
      </c>
      <c r="H271" s="359">
        <f>Fluxo_de_Caixa_Janeiro345911[[#This Row],[JUNHO]]</f>
        <v>0</v>
      </c>
      <c r="I271" s="358"/>
      <c r="J271" s="359"/>
      <c r="K271" s="359"/>
      <c r="L271" s="359"/>
      <c r="M271" s="359"/>
      <c r="N271" s="361"/>
      <c r="O271" s="231">
        <f>SUM(Fluxo_de_Caixa_Janeiro310208[[#This Row],[Janeiro]:[Dezembro]])</f>
        <v>0</v>
      </c>
      <c r="P271" s="140" t="str">
        <f t="shared" si="14"/>
        <v>0,00%</v>
      </c>
      <c r="Q271" s="140" t="s">
        <v>240</v>
      </c>
      <c r="R271" s="32"/>
      <c r="T271" s="525">
        <v>0</v>
      </c>
      <c r="U271" s="579" t="s">
        <v>240</v>
      </c>
    </row>
    <row r="272" spans="2:21" ht="25.15" customHeight="1" thickBot="1" x14ac:dyDescent="0.45">
      <c r="B272" s="269" t="str">
        <f>Fluxo_de_Caixa_Janeiro[[#This Row],[Fluxo de Caixa 2026 CTR]]</f>
        <v>Despesas Não Operacional</v>
      </c>
      <c r="C272" s="191">
        <f>Fluxo_de_Caixa_Janeiro[[#This Row],[Janeiro]]</f>
        <v>0</v>
      </c>
      <c r="D272" s="250">
        <f>Fluxo_de_Caixa_Janeiro3[[#This Row],[Fevereiro]]</f>
        <v>0</v>
      </c>
      <c r="E272" s="250">
        <f>Fluxo_de_Caixa_Janeiro34[[#This Row],[Março]]</f>
        <v>0</v>
      </c>
      <c r="F272" s="250">
        <f>Fluxo_de_Caixa_Janeiro345[[#This Row],[ABRIL]]</f>
        <v>0</v>
      </c>
      <c r="G272" s="250">
        <f>Fluxo_de_Caixa_Janeiro3459[[#This Row],[MAIO]]</f>
        <v>0</v>
      </c>
      <c r="H272" s="250">
        <f>Fluxo_de_Caixa_Janeiro345911[[#This Row],[JUNHO]]</f>
        <v>0</v>
      </c>
      <c r="I272" s="191"/>
      <c r="J272" s="250"/>
      <c r="K272" s="250"/>
      <c r="L272" s="250"/>
      <c r="M272" s="250"/>
      <c r="N272" s="288"/>
      <c r="O272" s="233"/>
      <c r="P272" s="146"/>
      <c r="Q272" s="60"/>
      <c r="R272" s="32" t="str">
        <f>IF(Fluxo_de_Caixa_Janeiro310208[[#This Row],[% ACUMULADO  1º SEMEST 2026]]&gt;=Fluxo_de_Caixa_Janeiro310208[[#This Row],[% ACUMULADO  1º SEMEST 2025]],"VERDADEIRO","FALSO")</f>
        <v>VERDADEIRO</v>
      </c>
      <c r="T272" s="527"/>
      <c r="U272" s="599"/>
    </row>
    <row r="273" spans="2:21" ht="24" customHeight="1" thickBot="1" x14ac:dyDescent="0.4">
      <c r="B273" s="278" t="str">
        <f>Fluxo_de_Caixa_Janeiro[[#This Row],[Fluxo de Caixa 2026 CTR]]</f>
        <v>5.1. EMPRESTIMO / FINANCIAMENTO</v>
      </c>
      <c r="C273" s="157">
        <f>Fluxo_de_Caixa_Janeiro[[#This Row],[Janeiro]]</f>
        <v>-18250.93</v>
      </c>
      <c r="D273" s="94">
        <f>Fluxo_de_Caixa_Janeiro3[[#This Row],[Fevereiro]]</f>
        <v>-18250.93</v>
      </c>
      <c r="E273" s="94">
        <f>Fluxo_de_Caixa_Janeiro34[[#This Row],[Março]]</f>
        <v>-230402.77</v>
      </c>
      <c r="F273" s="94">
        <f>Fluxo_de_Caixa_Janeiro345[[#This Row],[ABRIL]]</f>
        <v>-18250.93</v>
      </c>
      <c r="G273" s="94">
        <f>Fluxo_de_Caixa_Janeiro3459[[#This Row],[MAIO]]</f>
        <v>-31458.48</v>
      </c>
      <c r="H273" s="94">
        <f>Fluxo_de_Caixa_Janeiro345911[[#This Row],[JUNHO]]</f>
        <v>0</v>
      </c>
      <c r="I273" s="157"/>
      <c r="J273" s="94"/>
      <c r="K273" s="94"/>
      <c r="L273" s="94"/>
      <c r="M273" s="94"/>
      <c r="N273" s="128"/>
      <c r="O273" s="222">
        <f>SUM(Fluxo_de_Caixa_Janeiro310208[[#This Row],[Janeiro]:[Dezembro]])</f>
        <v>-316614.03999999998</v>
      </c>
      <c r="P273" s="143">
        <f t="shared" ref="P273:P304" si="15">-IFERROR(O273/$O$332,"0,00")</f>
        <v>5.7901595134667548E-2</v>
      </c>
      <c r="Q273" s="95">
        <v>6.2423299843541342E-3</v>
      </c>
      <c r="R273" s="32" t="str">
        <f>IF(Fluxo_de_Caixa_Janeiro310208[[#This Row],[% ACUMULADO  1º SEMEST 2026]]&lt;=Fluxo_de_Caixa_Janeiro310208[[#This Row],[% ACUMULADO  1º SEMEST 2025]],"VERDADEIRO","FALSO")</f>
        <v>FALSO</v>
      </c>
      <c r="T273" s="514">
        <v>-39079.490000000005</v>
      </c>
      <c r="U273" s="588">
        <v>6.2423299843541342E-3</v>
      </c>
    </row>
    <row r="274" spans="2:21" x14ac:dyDescent="0.25">
      <c r="B274" s="279" t="str">
        <f>Fluxo_de_Caixa_Janeiro[[#This Row],[Fluxo de Caixa 2026 CTR]]</f>
        <v>5.1.01. BANCARIOS</v>
      </c>
      <c r="C274" s="162">
        <f>Fluxo_de_Caixa_Janeiro[[#This Row],[Janeiro]]</f>
        <v>18250.93</v>
      </c>
      <c r="D274" s="104">
        <f>Fluxo_de_Caixa_Janeiro3[[#This Row],[Fevereiro]]</f>
        <v>18250.93</v>
      </c>
      <c r="E274" s="104">
        <f>Fluxo_de_Caixa_Janeiro34[[#This Row],[Março]]</f>
        <v>230402.77</v>
      </c>
      <c r="F274" s="104">
        <f>Fluxo_de_Caixa_Janeiro345[[#This Row],[ABRIL]]</f>
        <v>18250.93</v>
      </c>
      <c r="G274" s="104">
        <f>Fluxo_de_Caixa_Janeiro3459[[#This Row],[MAIO]]</f>
        <v>31458.48</v>
      </c>
      <c r="H274" s="104">
        <f>Fluxo_de_Caixa_Janeiro345911[[#This Row],[JUNHO]]</f>
        <v>0</v>
      </c>
      <c r="I274" s="162"/>
      <c r="J274" s="104"/>
      <c r="K274" s="104"/>
      <c r="L274" s="104"/>
      <c r="M274" s="104"/>
      <c r="N274" s="133"/>
      <c r="O274" s="234">
        <f>SUM(Fluxo_de_Caixa_Janeiro310208[[#This Row],[Janeiro]:[Dezembro]])</f>
        <v>316614.03999999998</v>
      </c>
      <c r="P274" s="147">
        <f t="shared" si="15"/>
        <v>-5.7901595134667548E-2</v>
      </c>
      <c r="Q274" s="105">
        <v>-6.2423299843541342E-3</v>
      </c>
      <c r="R274" s="32" t="str">
        <f>IF(Fluxo_de_Caixa_Janeiro310208[[#This Row],[% ACUMULADO  1º SEMEST 2026]]&lt;=Fluxo_de_Caixa_Janeiro310208[[#This Row],[% ACUMULADO  1º SEMEST 2025]],"VERDADEIRO","FALSO")</f>
        <v>VERDADEIRO</v>
      </c>
      <c r="T274" s="528">
        <v>39079.490000000005</v>
      </c>
      <c r="U274" s="600">
        <v>-6.2423299843541342E-3</v>
      </c>
    </row>
    <row r="275" spans="2:21" x14ac:dyDescent="0.25">
      <c r="B275" s="270" t="str">
        <f>Fluxo_de_Caixa_Janeiro[[#This Row],[Fluxo de Caixa 2026 CTR]]</f>
        <v>5.1.02. FINANCIAMENTO</v>
      </c>
      <c r="C275" s="45">
        <f>Fluxo_de_Caixa_Janeiro[[#This Row],[Janeiro]]</f>
        <v>0</v>
      </c>
      <c r="D275" s="80">
        <f>Fluxo_de_Caixa_Janeiro3[[#This Row],[Fevereiro]]</f>
        <v>0</v>
      </c>
      <c r="E275" s="80">
        <f>Fluxo_de_Caixa_Janeiro34[[#This Row],[Março]]</f>
        <v>0</v>
      </c>
      <c r="F275" s="80">
        <f>Fluxo_de_Caixa_Janeiro345[[#This Row],[ABRIL]]</f>
        <v>0</v>
      </c>
      <c r="G275" s="80">
        <f>Fluxo_de_Caixa_Janeiro3459[[#This Row],[MAIO]]</f>
        <v>0</v>
      </c>
      <c r="H275" s="80">
        <f>Fluxo_de_Caixa_Janeiro345911[[#This Row],[JUNHO]]</f>
        <v>0</v>
      </c>
      <c r="I275" s="45"/>
      <c r="J275" s="80"/>
      <c r="K275" s="80"/>
      <c r="L275" s="80"/>
      <c r="M275" s="80"/>
      <c r="N275" s="134"/>
      <c r="O275" s="235">
        <f>SUM(Fluxo_de_Caixa_Janeiro310208[[#This Row],[Janeiro]:[Dezembro]])</f>
        <v>0</v>
      </c>
      <c r="P275" s="26">
        <f t="shared" si="15"/>
        <v>0</v>
      </c>
      <c r="Q275" s="76">
        <v>0</v>
      </c>
      <c r="R275" s="32" t="str">
        <f>IF(Fluxo_de_Caixa_Janeiro310208[[#This Row],[% ACUMULADO  1º SEMEST 2026]]&lt;=Fluxo_de_Caixa_Janeiro310208[[#This Row],[% ACUMULADO  1º SEMEST 2025]],"VERDADEIRO","FALSO")</f>
        <v>VERDADEIRO</v>
      </c>
      <c r="T275" s="529">
        <v>0</v>
      </c>
      <c r="U275" s="601">
        <v>0</v>
      </c>
    </row>
    <row r="276" spans="2:21" x14ac:dyDescent="0.25">
      <c r="B276" s="270" t="str">
        <f>Fluxo_de_Caixa_Janeiro[[#This Row],[Fluxo de Caixa 2026 CTR]]</f>
        <v>5.1.03. ENTRE EMPRESAS DO MESMO GRUPO</v>
      </c>
      <c r="C276" s="45">
        <f>Fluxo_de_Caixa_Janeiro[[#This Row],[Janeiro]]</f>
        <v>0</v>
      </c>
      <c r="D276" s="80">
        <f>Fluxo_de_Caixa_Janeiro3[[#This Row],[Fevereiro]]</f>
        <v>0</v>
      </c>
      <c r="E276" s="80">
        <f>Fluxo_de_Caixa_Janeiro34[[#This Row],[Março]]</f>
        <v>0</v>
      </c>
      <c r="F276" s="80">
        <f>Fluxo_de_Caixa_Janeiro345[[#This Row],[ABRIL]]</f>
        <v>0</v>
      </c>
      <c r="G276" s="80">
        <f>Fluxo_de_Caixa_Janeiro3459[[#This Row],[MAIO]]</f>
        <v>0</v>
      </c>
      <c r="H276" s="80">
        <f>Fluxo_de_Caixa_Janeiro345911[[#This Row],[JUNHO]]</f>
        <v>0</v>
      </c>
      <c r="I276" s="45"/>
      <c r="J276" s="80"/>
      <c r="K276" s="80"/>
      <c r="L276" s="80"/>
      <c r="M276" s="80"/>
      <c r="N276" s="134"/>
      <c r="O276" s="235">
        <f>SUM(Fluxo_de_Caixa_Janeiro310208[[#This Row],[Janeiro]:[Dezembro]])</f>
        <v>0</v>
      </c>
      <c r="P276" s="26">
        <f t="shared" si="15"/>
        <v>0</v>
      </c>
      <c r="Q276" s="76">
        <v>0</v>
      </c>
      <c r="R276" s="32" t="str">
        <f>IF(Fluxo_de_Caixa_Janeiro310208[[#This Row],[% ACUMULADO  1º SEMEST 2026]]&lt;=Fluxo_de_Caixa_Janeiro310208[[#This Row],[% ACUMULADO  1º SEMEST 2025]],"VERDADEIRO","FALSO")</f>
        <v>VERDADEIRO</v>
      </c>
      <c r="T276" s="529">
        <v>0</v>
      </c>
      <c r="U276" s="601">
        <v>0</v>
      </c>
    </row>
    <row r="277" spans="2:21" ht="15.75" thickBot="1" x14ac:dyDescent="0.3">
      <c r="B277" s="270" t="str">
        <f>Fluxo_de_Caixa_Janeiro[[#This Row],[Fluxo de Caixa 2026 CTR]]</f>
        <v>5.1.04. PESSOA FISICA</v>
      </c>
      <c r="C277" s="45">
        <f>Fluxo_de_Caixa_Janeiro[[#This Row],[Janeiro]]</f>
        <v>0</v>
      </c>
      <c r="D277" s="80">
        <f>Fluxo_de_Caixa_Janeiro3[[#This Row],[Fevereiro]]</f>
        <v>0</v>
      </c>
      <c r="E277" s="80">
        <f>Fluxo_de_Caixa_Janeiro34[[#This Row],[Março]]</f>
        <v>0</v>
      </c>
      <c r="F277" s="80">
        <f>Fluxo_de_Caixa_Janeiro345[[#This Row],[ABRIL]]</f>
        <v>0</v>
      </c>
      <c r="G277" s="80">
        <f>Fluxo_de_Caixa_Janeiro3459[[#This Row],[MAIO]]</f>
        <v>0</v>
      </c>
      <c r="H277" s="80">
        <f>Fluxo_de_Caixa_Janeiro345911[[#This Row],[JUNHO]]</f>
        <v>0</v>
      </c>
      <c r="I277" s="45"/>
      <c r="J277" s="80"/>
      <c r="K277" s="80"/>
      <c r="L277" s="80"/>
      <c r="M277" s="80"/>
      <c r="N277" s="134"/>
      <c r="O277" s="235">
        <f>SUM(Fluxo_de_Caixa_Janeiro310208[[#This Row],[Janeiro]:[Dezembro]])</f>
        <v>0</v>
      </c>
      <c r="P277" s="26">
        <f t="shared" si="15"/>
        <v>0</v>
      </c>
      <c r="Q277" s="76">
        <v>0</v>
      </c>
      <c r="R277" s="32" t="str">
        <f>IF(Fluxo_de_Caixa_Janeiro310208[[#This Row],[% ACUMULADO  1º SEMEST 2026]]&lt;=Fluxo_de_Caixa_Janeiro310208[[#This Row],[% ACUMULADO  1º SEMEST 2025]],"VERDADEIRO","FALSO")</f>
        <v>VERDADEIRO</v>
      </c>
      <c r="T277" s="529">
        <v>0</v>
      </c>
      <c r="U277" s="601">
        <v>0</v>
      </c>
    </row>
    <row r="278" spans="2:21" hidden="1" x14ac:dyDescent="0.25">
      <c r="B278" s="270">
        <f>Fluxo_de_Caixa_Janeiro[[#This Row],[Fluxo de Caixa 2026 CTR]]</f>
        <v>0</v>
      </c>
      <c r="C278" s="45">
        <f>Fluxo_de_Caixa_Janeiro[[#This Row],[Janeiro]]</f>
        <v>0</v>
      </c>
      <c r="D278" s="80">
        <f>Fluxo_de_Caixa_Janeiro3[[#This Row],[Fevereiro]]</f>
        <v>0</v>
      </c>
      <c r="E278" s="80">
        <f>Fluxo_de_Caixa_Janeiro34[[#This Row],[Março]]</f>
        <v>0</v>
      </c>
      <c r="F278" s="80">
        <f>Fluxo_de_Caixa_Janeiro345[[#This Row],[ABRIL]]</f>
        <v>0</v>
      </c>
      <c r="G278" s="80">
        <f>Fluxo_de_Caixa_Janeiro3459[[#This Row],[MAIO]]</f>
        <v>0</v>
      </c>
      <c r="H278" s="80">
        <f>Fluxo_de_Caixa_Janeiro345911[[#This Row],[JUNHO]]</f>
        <v>0</v>
      </c>
      <c r="I278" s="45"/>
      <c r="J278" s="80"/>
      <c r="K278" s="80"/>
      <c r="L278" s="80"/>
      <c r="M278" s="80"/>
      <c r="N278" s="134"/>
      <c r="O278" s="235">
        <f>SUM(Fluxo_de_Caixa_Janeiro310208[[#This Row],[Janeiro]:[Dezembro]])</f>
        <v>0</v>
      </c>
      <c r="P278" s="26">
        <f t="shared" si="15"/>
        <v>0</v>
      </c>
      <c r="Q278" s="76">
        <v>0</v>
      </c>
      <c r="R278" s="32" t="str">
        <f>IF(Fluxo_de_Caixa_Janeiro310208[[#This Row],[% ACUMULADO  1º SEMEST 2026]]&lt;=Fluxo_de_Caixa_Janeiro310208[[#This Row],[% ACUMULADO  1º SEMEST 2025]],"VERDADEIRO","FALSO")</f>
        <v>VERDADEIRO</v>
      </c>
      <c r="T278" s="529">
        <v>0</v>
      </c>
      <c r="U278" s="601">
        <v>0</v>
      </c>
    </row>
    <row r="279" spans="2:21" hidden="1" x14ac:dyDescent="0.25">
      <c r="B279" s="391">
        <f>Fluxo_de_Caixa_Janeiro[[#This Row],[Fluxo de Caixa 2026 CTR]]</f>
        <v>0</v>
      </c>
      <c r="C279" s="372">
        <f>Fluxo_de_Caixa_Janeiro[[#This Row],[Janeiro]]</f>
        <v>0</v>
      </c>
      <c r="D279" s="374">
        <f>Fluxo_de_Caixa_Janeiro3[[#This Row],[Fevereiro]]</f>
        <v>0</v>
      </c>
      <c r="E279" s="374">
        <f>Fluxo_de_Caixa_Janeiro34[[#This Row],[Março]]</f>
        <v>0</v>
      </c>
      <c r="F279" s="374">
        <f>Fluxo_de_Caixa_Janeiro345[[#This Row],[ABRIL]]</f>
        <v>0</v>
      </c>
      <c r="G279" s="374">
        <f>Fluxo_de_Caixa_Janeiro3459[[#This Row],[MAIO]]</f>
        <v>0</v>
      </c>
      <c r="H279" s="374">
        <f>Fluxo_de_Caixa_Janeiro345911[[#This Row],[JUNHO]]</f>
        <v>0</v>
      </c>
      <c r="I279" s="372"/>
      <c r="J279" s="374"/>
      <c r="K279" s="374"/>
      <c r="L279" s="374"/>
      <c r="M279" s="374"/>
      <c r="N279" s="376"/>
      <c r="O279" s="235">
        <f>SUM(Fluxo_de_Caixa_Janeiro310208[[#This Row],[Janeiro]:[Dezembro]])</f>
        <v>0</v>
      </c>
      <c r="P279" s="26">
        <f t="shared" si="15"/>
        <v>0</v>
      </c>
      <c r="Q279" s="76">
        <v>0</v>
      </c>
      <c r="R279" s="32"/>
      <c r="T279" s="529">
        <v>0</v>
      </c>
      <c r="U279" s="601">
        <v>0</v>
      </c>
    </row>
    <row r="280" spans="2:21" hidden="1" x14ac:dyDescent="0.25">
      <c r="B280" s="392">
        <f>Fluxo_de_Caixa_Janeiro[[#This Row],[Fluxo de Caixa 2026 CTR]]</f>
        <v>0</v>
      </c>
      <c r="C280" s="372">
        <f>Fluxo_de_Caixa_Janeiro[[#This Row],[Janeiro]]</f>
        <v>0</v>
      </c>
      <c r="D280" s="374">
        <f>Fluxo_de_Caixa_Janeiro3[[#This Row],[Fevereiro]]</f>
        <v>0</v>
      </c>
      <c r="E280" s="374">
        <f>Fluxo_de_Caixa_Janeiro34[[#This Row],[Março]]</f>
        <v>0</v>
      </c>
      <c r="F280" s="374">
        <f>Fluxo_de_Caixa_Janeiro345[[#This Row],[ABRIL]]</f>
        <v>0</v>
      </c>
      <c r="G280" s="374">
        <f>Fluxo_de_Caixa_Janeiro3459[[#This Row],[MAIO]]</f>
        <v>0</v>
      </c>
      <c r="H280" s="374">
        <f>Fluxo_de_Caixa_Janeiro345911[[#This Row],[JUNHO]]</f>
        <v>0</v>
      </c>
      <c r="I280" s="372"/>
      <c r="J280" s="374"/>
      <c r="K280" s="374"/>
      <c r="L280" s="374"/>
      <c r="M280" s="374"/>
      <c r="N280" s="376"/>
      <c r="O280" s="235">
        <f>SUM(Fluxo_de_Caixa_Janeiro310208[[#This Row],[Janeiro]:[Dezembro]])</f>
        <v>0</v>
      </c>
      <c r="P280" s="26">
        <f t="shared" si="15"/>
        <v>0</v>
      </c>
      <c r="Q280" s="76">
        <v>0</v>
      </c>
      <c r="R280" s="32"/>
      <c r="T280" s="529">
        <v>0</v>
      </c>
      <c r="U280" s="601">
        <v>0</v>
      </c>
    </row>
    <row r="281" spans="2:21" hidden="1" x14ac:dyDescent="0.25">
      <c r="B281" s="392">
        <f>Fluxo_de_Caixa_Janeiro[[#This Row],[Fluxo de Caixa 2026 CTR]]</f>
        <v>0</v>
      </c>
      <c r="C281" s="372">
        <f>Fluxo_de_Caixa_Janeiro[[#This Row],[Janeiro]]</f>
        <v>0</v>
      </c>
      <c r="D281" s="374">
        <f>Fluxo_de_Caixa_Janeiro3[[#This Row],[Fevereiro]]</f>
        <v>0</v>
      </c>
      <c r="E281" s="374">
        <f>Fluxo_de_Caixa_Janeiro34[[#This Row],[Março]]</f>
        <v>0</v>
      </c>
      <c r="F281" s="374">
        <f>Fluxo_de_Caixa_Janeiro345[[#This Row],[ABRIL]]</f>
        <v>0</v>
      </c>
      <c r="G281" s="374">
        <f>Fluxo_de_Caixa_Janeiro3459[[#This Row],[MAIO]]</f>
        <v>0</v>
      </c>
      <c r="H281" s="374">
        <f>Fluxo_de_Caixa_Janeiro345911[[#This Row],[JUNHO]]</f>
        <v>0</v>
      </c>
      <c r="I281" s="372"/>
      <c r="J281" s="374"/>
      <c r="K281" s="374"/>
      <c r="L281" s="374"/>
      <c r="M281" s="374"/>
      <c r="N281" s="376"/>
      <c r="O281" s="235">
        <f>SUM(Fluxo_de_Caixa_Janeiro310208[[#This Row],[Janeiro]:[Dezembro]])</f>
        <v>0</v>
      </c>
      <c r="P281" s="26">
        <f t="shared" si="15"/>
        <v>0</v>
      </c>
      <c r="Q281" s="76">
        <v>0</v>
      </c>
      <c r="R281" s="32"/>
      <c r="T281" s="529">
        <v>0</v>
      </c>
      <c r="U281" s="601">
        <v>0</v>
      </c>
    </row>
    <row r="282" spans="2:21" hidden="1" x14ac:dyDescent="0.25">
      <c r="B282" s="392">
        <f>Fluxo_de_Caixa_Janeiro[[#This Row],[Fluxo de Caixa 2026 CTR]]</f>
        <v>0</v>
      </c>
      <c r="C282" s="372">
        <f>Fluxo_de_Caixa_Janeiro[[#This Row],[Janeiro]]</f>
        <v>0</v>
      </c>
      <c r="D282" s="374">
        <f>Fluxo_de_Caixa_Janeiro3[[#This Row],[Fevereiro]]</f>
        <v>0</v>
      </c>
      <c r="E282" s="374">
        <f>Fluxo_de_Caixa_Janeiro34[[#This Row],[Março]]</f>
        <v>0</v>
      </c>
      <c r="F282" s="374">
        <f>Fluxo_de_Caixa_Janeiro345[[#This Row],[ABRIL]]</f>
        <v>0</v>
      </c>
      <c r="G282" s="374">
        <f>Fluxo_de_Caixa_Janeiro3459[[#This Row],[MAIO]]</f>
        <v>0</v>
      </c>
      <c r="H282" s="374">
        <f>Fluxo_de_Caixa_Janeiro345911[[#This Row],[JUNHO]]</f>
        <v>0</v>
      </c>
      <c r="I282" s="372"/>
      <c r="J282" s="374"/>
      <c r="K282" s="374"/>
      <c r="L282" s="374"/>
      <c r="M282" s="374"/>
      <c r="N282" s="376"/>
      <c r="O282" s="235">
        <f>SUM(Fluxo_de_Caixa_Janeiro310208[[#This Row],[Janeiro]:[Dezembro]])</f>
        <v>0</v>
      </c>
      <c r="P282" s="26">
        <f t="shared" si="15"/>
        <v>0</v>
      </c>
      <c r="Q282" s="76">
        <v>0</v>
      </c>
      <c r="R282" s="32"/>
      <c r="T282" s="529">
        <v>0</v>
      </c>
      <c r="U282" s="601">
        <v>0</v>
      </c>
    </row>
    <row r="283" spans="2:21" hidden="1" x14ac:dyDescent="0.25">
      <c r="B283" s="392">
        <f>Fluxo_de_Caixa_Janeiro[[#This Row],[Fluxo de Caixa 2026 CTR]]</f>
        <v>0</v>
      </c>
      <c r="C283" s="372">
        <f>Fluxo_de_Caixa_Janeiro[[#This Row],[Janeiro]]</f>
        <v>0</v>
      </c>
      <c r="D283" s="374">
        <f>Fluxo_de_Caixa_Janeiro3[[#This Row],[Fevereiro]]</f>
        <v>0</v>
      </c>
      <c r="E283" s="374">
        <f>Fluxo_de_Caixa_Janeiro34[[#This Row],[Março]]</f>
        <v>0</v>
      </c>
      <c r="F283" s="374">
        <f>Fluxo_de_Caixa_Janeiro345[[#This Row],[ABRIL]]</f>
        <v>0</v>
      </c>
      <c r="G283" s="374">
        <f>Fluxo_de_Caixa_Janeiro3459[[#This Row],[MAIO]]</f>
        <v>0</v>
      </c>
      <c r="H283" s="374">
        <f>Fluxo_de_Caixa_Janeiro345911[[#This Row],[JUNHO]]</f>
        <v>0</v>
      </c>
      <c r="I283" s="372"/>
      <c r="J283" s="374"/>
      <c r="K283" s="374"/>
      <c r="L283" s="374"/>
      <c r="M283" s="374"/>
      <c r="N283" s="376"/>
      <c r="O283" s="235">
        <f>SUM(Fluxo_de_Caixa_Janeiro310208[[#This Row],[Janeiro]:[Dezembro]])</f>
        <v>0</v>
      </c>
      <c r="P283" s="26">
        <f t="shared" si="15"/>
        <v>0</v>
      </c>
      <c r="Q283" s="76">
        <v>0</v>
      </c>
      <c r="R283" s="32"/>
      <c r="T283" s="529">
        <v>0</v>
      </c>
      <c r="U283" s="601">
        <v>0</v>
      </c>
    </row>
    <row r="284" spans="2:21" hidden="1" x14ac:dyDescent="0.25">
      <c r="B284" s="392">
        <f>Fluxo_de_Caixa_Janeiro[[#This Row],[Fluxo de Caixa 2026 CTR]]</f>
        <v>0</v>
      </c>
      <c r="C284" s="372">
        <f>Fluxo_de_Caixa_Janeiro[[#This Row],[Janeiro]]</f>
        <v>0</v>
      </c>
      <c r="D284" s="374">
        <f>Fluxo_de_Caixa_Janeiro3[[#This Row],[Fevereiro]]</f>
        <v>0</v>
      </c>
      <c r="E284" s="374">
        <f>Fluxo_de_Caixa_Janeiro34[[#This Row],[Março]]</f>
        <v>0</v>
      </c>
      <c r="F284" s="374">
        <f>Fluxo_de_Caixa_Janeiro345[[#This Row],[ABRIL]]</f>
        <v>0</v>
      </c>
      <c r="G284" s="374">
        <f>Fluxo_de_Caixa_Janeiro3459[[#This Row],[MAIO]]</f>
        <v>0</v>
      </c>
      <c r="H284" s="374">
        <f>Fluxo_de_Caixa_Janeiro345911[[#This Row],[JUNHO]]</f>
        <v>0</v>
      </c>
      <c r="I284" s="372"/>
      <c r="J284" s="374"/>
      <c r="K284" s="374"/>
      <c r="L284" s="374"/>
      <c r="M284" s="374"/>
      <c r="N284" s="376"/>
      <c r="O284" s="235">
        <f>SUM(Fluxo_de_Caixa_Janeiro310208[[#This Row],[Janeiro]:[Dezembro]])</f>
        <v>0</v>
      </c>
      <c r="P284" s="26">
        <f t="shared" si="15"/>
        <v>0</v>
      </c>
      <c r="Q284" s="76">
        <v>0</v>
      </c>
      <c r="R284" s="32"/>
      <c r="T284" s="529">
        <v>0</v>
      </c>
      <c r="U284" s="601">
        <v>0</v>
      </c>
    </row>
    <row r="285" spans="2:21" hidden="1" x14ac:dyDescent="0.25">
      <c r="B285" s="392">
        <f>Fluxo_de_Caixa_Janeiro[[#This Row],[Fluxo de Caixa 2026 CTR]]</f>
        <v>0</v>
      </c>
      <c r="C285" s="372">
        <f>Fluxo_de_Caixa_Janeiro[[#This Row],[Janeiro]]</f>
        <v>0</v>
      </c>
      <c r="D285" s="374">
        <f>Fluxo_de_Caixa_Janeiro3[[#This Row],[Fevereiro]]</f>
        <v>0</v>
      </c>
      <c r="E285" s="374">
        <f>Fluxo_de_Caixa_Janeiro34[[#This Row],[Março]]</f>
        <v>0</v>
      </c>
      <c r="F285" s="374">
        <f>Fluxo_de_Caixa_Janeiro345[[#This Row],[ABRIL]]</f>
        <v>0</v>
      </c>
      <c r="G285" s="374">
        <f>Fluxo_de_Caixa_Janeiro3459[[#This Row],[MAIO]]</f>
        <v>0</v>
      </c>
      <c r="H285" s="374">
        <f>Fluxo_de_Caixa_Janeiro345911[[#This Row],[JUNHO]]</f>
        <v>0</v>
      </c>
      <c r="I285" s="372"/>
      <c r="J285" s="374"/>
      <c r="K285" s="374"/>
      <c r="L285" s="374"/>
      <c r="M285" s="374"/>
      <c r="N285" s="376"/>
      <c r="O285" s="235">
        <f>SUM(Fluxo_de_Caixa_Janeiro310208[[#This Row],[Janeiro]:[Dezembro]])</f>
        <v>0</v>
      </c>
      <c r="P285" s="26">
        <f t="shared" si="15"/>
        <v>0</v>
      </c>
      <c r="Q285" s="76">
        <v>0</v>
      </c>
      <c r="R285" s="32"/>
      <c r="T285" s="529">
        <v>0</v>
      </c>
      <c r="U285" s="601">
        <v>0</v>
      </c>
    </row>
    <row r="286" spans="2:21" hidden="1" x14ac:dyDescent="0.25">
      <c r="B286" s="392">
        <f>Fluxo_de_Caixa_Janeiro[[#This Row],[Fluxo de Caixa 2026 CTR]]</f>
        <v>0</v>
      </c>
      <c r="C286" s="372">
        <f>Fluxo_de_Caixa_Janeiro[[#This Row],[Janeiro]]</f>
        <v>0</v>
      </c>
      <c r="D286" s="374">
        <f>Fluxo_de_Caixa_Janeiro3[[#This Row],[Fevereiro]]</f>
        <v>0</v>
      </c>
      <c r="E286" s="374">
        <f>Fluxo_de_Caixa_Janeiro34[[#This Row],[Março]]</f>
        <v>0</v>
      </c>
      <c r="F286" s="374">
        <f>Fluxo_de_Caixa_Janeiro345[[#This Row],[ABRIL]]</f>
        <v>0</v>
      </c>
      <c r="G286" s="374">
        <f>Fluxo_de_Caixa_Janeiro3459[[#This Row],[MAIO]]</f>
        <v>0</v>
      </c>
      <c r="H286" s="374">
        <f>Fluxo_de_Caixa_Janeiro345911[[#This Row],[JUNHO]]</f>
        <v>0</v>
      </c>
      <c r="I286" s="372"/>
      <c r="J286" s="374"/>
      <c r="K286" s="374"/>
      <c r="L286" s="374"/>
      <c r="M286" s="374"/>
      <c r="N286" s="376"/>
      <c r="O286" s="235">
        <f>SUM(Fluxo_de_Caixa_Janeiro310208[[#This Row],[Janeiro]:[Dezembro]])</f>
        <v>0</v>
      </c>
      <c r="P286" s="26">
        <f t="shared" si="15"/>
        <v>0</v>
      </c>
      <c r="Q286" s="76">
        <v>0</v>
      </c>
      <c r="R286" s="32"/>
      <c r="T286" s="529">
        <v>0</v>
      </c>
      <c r="U286" s="601">
        <v>0</v>
      </c>
    </row>
    <row r="287" spans="2:21" hidden="1" x14ac:dyDescent="0.25">
      <c r="B287" s="391">
        <f>Fluxo_de_Caixa_Janeiro[[#This Row],[Fluxo de Caixa 2026 CTR]]</f>
        <v>0</v>
      </c>
      <c r="C287" s="372">
        <f>Fluxo_de_Caixa_Janeiro[[#This Row],[Janeiro]]</f>
        <v>0</v>
      </c>
      <c r="D287" s="374">
        <f>Fluxo_de_Caixa_Janeiro3[[#This Row],[Fevereiro]]</f>
        <v>0</v>
      </c>
      <c r="E287" s="374">
        <f>Fluxo_de_Caixa_Janeiro34[[#This Row],[Março]]</f>
        <v>0</v>
      </c>
      <c r="F287" s="374">
        <f>Fluxo_de_Caixa_Janeiro345[[#This Row],[ABRIL]]</f>
        <v>0</v>
      </c>
      <c r="G287" s="374">
        <f>Fluxo_de_Caixa_Janeiro3459[[#This Row],[MAIO]]</f>
        <v>0</v>
      </c>
      <c r="H287" s="374">
        <f>Fluxo_de_Caixa_Janeiro345911[[#This Row],[JUNHO]]</f>
        <v>0</v>
      </c>
      <c r="I287" s="372"/>
      <c r="J287" s="374"/>
      <c r="K287" s="374"/>
      <c r="L287" s="374"/>
      <c r="M287" s="374"/>
      <c r="N287" s="376"/>
      <c r="O287" s="235">
        <f>SUM(Fluxo_de_Caixa_Janeiro310208[[#This Row],[Janeiro]:[Dezembro]])</f>
        <v>0</v>
      </c>
      <c r="P287" s="26">
        <f t="shared" si="15"/>
        <v>0</v>
      </c>
      <c r="Q287" s="76">
        <v>0</v>
      </c>
      <c r="R287" s="32"/>
      <c r="T287" s="529">
        <v>0</v>
      </c>
      <c r="U287" s="601">
        <v>0</v>
      </c>
    </row>
    <row r="288" spans="2:21" hidden="1" x14ac:dyDescent="0.25">
      <c r="B288" s="391">
        <f>Fluxo_de_Caixa_Janeiro[[#This Row],[Fluxo de Caixa 2026 CTR]]</f>
        <v>0</v>
      </c>
      <c r="C288" s="373">
        <f>Fluxo_de_Caixa_Janeiro[[#This Row],[Janeiro]]</f>
        <v>0</v>
      </c>
      <c r="D288" s="375">
        <f>Fluxo_de_Caixa_Janeiro3[[#This Row],[Fevereiro]]</f>
        <v>0</v>
      </c>
      <c r="E288" s="375">
        <f>Fluxo_de_Caixa_Janeiro34[[#This Row],[Março]]</f>
        <v>0</v>
      </c>
      <c r="F288" s="375">
        <f>Fluxo_de_Caixa_Janeiro345[[#This Row],[ABRIL]]</f>
        <v>0</v>
      </c>
      <c r="G288" s="375">
        <f>Fluxo_de_Caixa_Janeiro3459[[#This Row],[MAIO]]</f>
        <v>0</v>
      </c>
      <c r="H288" s="375">
        <f>Fluxo_de_Caixa_Janeiro345911[[#This Row],[JUNHO]]</f>
        <v>0</v>
      </c>
      <c r="I288" s="373"/>
      <c r="J288" s="375"/>
      <c r="K288" s="375"/>
      <c r="L288" s="375"/>
      <c r="M288" s="375"/>
      <c r="N288" s="377"/>
      <c r="O288" s="235">
        <f>SUM(Fluxo_de_Caixa_Janeiro310208[[#This Row],[Janeiro]:[Dezembro]])</f>
        <v>0</v>
      </c>
      <c r="P288" s="26">
        <f t="shared" si="15"/>
        <v>0</v>
      </c>
      <c r="Q288" s="76">
        <v>0</v>
      </c>
      <c r="R288" s="32"/>
      <c r="T288" s="529">
        <v>0</v>
      </c>
      <c r="U288" s="601">
        <v>0</v>
      </c>
    </row>
    <row r="289" spans="2:21" hidden="1" x14ac:dyDescent="0.25">
      <c r="B289" s="392">
        <f>Fluxo_de_Caixa_Janeiro[[#This Row],[Fluxo de Caixa 2026 CTR]]</f>
        <v>0</v>
      </c>
      <c r="C289" s="372">
        <f>Fluxo_de_Caixa_Janeiro[[#This Row],[Janeiro]]</f>
        <v>0</v>
      </c>
      <c r="D289" s="374">
        <f>Fluxo_de_Caixa_Janeiro3[[#This Row],[Fevereiro]]</f>
        <v>0</v>
      </c>
      <c r="E289" s="374">
        <f>Fluxo_de_Caixa_Janeiro34[[#This Row],[Março]]</f>
        <v>0</v>
      </c>
      <c r="F289" s="374">
        <f>Fluxo_de_Caixa_Janeiro345[[#This Row],[ABRIL]]</f>
        <v>0</v>
      </c>
      <c r="G289" s="374">
        <f>Fluxo_de_Caixa_Janeiro3459[[#This Row],[MAIO]]</f>
        <v>0</v>
      </c>
      <c r="H289" s="374">
        <f>Fluxo_de_Caixa_Janeiro345911[[#This Row],[JUNHO]]</f>
        <v>0</v>
      </c>
      <c r="I289" s="372"/>
      <c r="J289" s="374"/>
      <c r="K289" s="374"/>
      <c r="L289" s="374"/>
      <c r="M289" s="374"/>
      <c r="N289" s="376"/>
      <c r="O289" s="235">
        <f>SUM(Fluxo_de_Caixa_Janeiro310208[[#This Row],[Janeiro]:[Dezembro]])</f>
        <v>0</v>
      </c>
      <c r="P289" s="26">
        <f t="shared" si="15"/>
        <v>0</v>
      </c>
      <c r="Q289" s="76">
        <v>0</v>
      </c>
      <c r="R289" s="32"/>
      <c r="T289" s="529">
        <v>0</v>
      </c>
      <c r="U289" s="601">
        <v>0</v>
      </c>
    </row>
    <row r="290" spans="2:21" hidden="1" x14ac:dyDescent="0.25">
      <c r="B290" s="392">
        <f>Fluxo_de_Caixa_Janeiro[[#This Row],[Fluxo de Caixa 2026 CTR]]</f>
        <v>0</v>
      </c>
      <c r="C290" s="373">
        <f>Fluxo_de_Caixa_Janeiro[[#This Row],[Janeiro]]</f>
        <v>0</v>
      </c>
      <c r="D290" s="375">
        <f>Fluxo_de_Caixa_Janeiro3[[#This Row],[Fevereiro]]</f>
        <v>0</v>
      </c>
      <c r="E290" s="375">
        <f>Fluxo_de_Caixa_Janeiro34[[#This Row],[Março]]</f>
        <v>0</v>
      </c>
      <c r="F290" s="375">
        <f>Fluxo_de_Caixa_Janeiro345[[#This Row],[ABRIL]]</f>
        <v>0</v>
      </c>
      <c r="G290" s="375">
        <f>Fluxo_de_Caixa_Janeiro3459[[#This Row],[MAIO]]</f>
        <v>0</v>
      </c>
      <c r="H290" s="375">
        <f>Fluxo_de_Caixa_Janeiro345911[[#This Row],[JUNHO]]</f>
        <v>0</v>
      </c>
      <c r="I290" s="373"/>
      <c r="J290" s="375"/>
      <c r="K290" s="375"/>
      <c r="L290" s="375"/>
      <c r="M290" s="375"/>
      <c r="N290" s="377"/>
      <c r="O290" s="235">
        <f>SUM(Fluxo_de_Caixa_Janeiro310208[[#This Row],[Janeiro]:[Dezembro]])</f>
        <v>0</v>
      </c>
      <c r="P290" s="26">
        <f t="shared" si="15"/>
        <v>0</v>
      </c>
      <c r="Q290" s="76">
        <v>0</v>
      </c>
      <c r="R290" s="32"/>
      <c r="T290" s="529">
        <v>0</v>
      </c>
      <c r="U290" s="601">
        <v>0</v>
      </c>
    </row>
    <row r="291" spans="2:21" hidden="1" x14ac:dyDescent="0.25">
      <c r="B291" s="270">
        <f>Fluxo_de_Caixa_Janeiro[[#This Row],[Fluxo de Caixa 2026 CTR]]</f>
        <v>0</v>
      </c>
      <c r="C291" s="45">
        <f>Fluxo_de_Caixa_Janeiro[[#This Row],[Janeiro]]</f>
        <v>0</v>
      </c>
      <c r="D291" s="80">
        <f>Fluxo_de_Caixa_Janeiro3[[#This Row],[Fevereiro]]</f>
        <v>0</v>
      </c>
      <c r="E291" s="80">
        <f>Fluxo_de_Caixa_Janeiro34[[#This Row],[Março]]</f>
        <v>0</v>
      </c>
      <c r="F291" s="80">
        <f>Fluxo_de_Caixa_Janeiro345[[#This Row],[ABRIL]]</f>
        <v>0</v>
      </c>
      <c r="G291" s="80">
        <f>Fluxo_de_Caixa_Janeiro3459[[#This Row],[MAIO]]</f>
        <v>0</v>
      </c>
      <c r="H291" s="80">
        <f>Fluxo_de_Caixa_Janeiro345911[[#This Row],[JUNHO]]</f>
        <v>0</v>
      </c>
      <c r="I291" s="45"/>
      <c r="J291" s="80"/>
      <c r="K291" s="80"/>
      <c r="L291" s="80"/>
      <c r="M291" s="80"/>
      <c r="N291" s="134"/>
      <c r="O291" s="235">
        <f>SUM(Fluxo_de_Caixa_Janeiro310208[[#This Row],[Janeiro]:[Dezembro]])</f>
        <v>0</v>
      </c>
      <c r="P291" s="26">
        <f t="shared" si="15"/>
        <v>0</v>
      </c>
      <c r="Q291" s="76">
        <v>0</v>
      </c>
      <c r="R291" s="32" t="str">
        <f>IF(Fluxo_de_Caixa_Janeiro310208[[#This Row],[% ACUMULADO  1º SEMEST 2026]]&lt;=Fluxo_de_Caixa_Janeiro310208[[#This Row],[% ACUMULADO  1º SEMEST 2025]],"VERDADEIRO","FALSO")</f>
        <v>VERDADEIRO</v>
      </c>
      <c r="T291" s="529">
        <v>0</v>
      </c>
      <c r="U291" s="601">
        <v>0</v>
      </c>
    </row>
    <row r="292" spans="2:21" hidden="1" x14ac:dyDescent="0.25">
      <c r="B292" s="270">
        <f>Fluxo_de_Caixa_Janeiro[[#This Row],[Fluxo de Caixa 2026 CTR]]</f>
        <v>0</v>
      </c>
      <c r="C292" s="45">
        <f>Fluxo_de_Caixa_Janeiro[[#This Row],[Janeiro]]</f>
        <v>0</v>
      </c>
      <c r="D292" s="80">
        <f>Fluxo_de_Caixa_Janeiro3[[#This Row],[Fevereiro]]</f>
        <v>0</v>
      </c>
      <c r="E292" s="80">
        <f>Fluxo_de_Caixa_Janeiro34[[#This Row],[Março]]</f>
        <v>0</v>
      </c>
      <c r="F292" s="80">
        <f>Fluxo_de_Caixa_Janeiro345[[#This Row],[ABRIL]]</f>
        <v>0</v>
      </c>
      <c r="G292" s="80">
        <f>Fluxo_de_Caixa_Janeiro3459[[#This Row],[MAIO]]</f>
        <v>0</v>
      </c>
      <c r="H292" s="80">
        <f>Fluxo_de_Caixa_Janeiro345911[[#This Row],[JUNHO]]</f>
        <v>0</v>
      </c>
      <c r="I292" s="45"/>
      <c r="J292" s="80"/>
      <c r="K292" s="80"/>
      <c r="L292" s="80"/>
      <c r="M292" s="80"/>
      <c r="N292" s="134"/>
      <c r="O292" s="235">
        <f>SUM(Fluxo_de_Caixa_Janeiro310208[[#This Row],[Janeiro]:[Dezembro]])</f>
        <v>0</v>
      </c>
      <c r="P292" s="26">
        <f t="shared" si="15"/>
        <v>0</v>
      </c>
      <c r="Q292" s="76">
        <v>0</v>
      </c>
      <c r="R292" s="32" t="str">
        <f>IF(Fluxo_de_Caixa_Janeiro310208[[#This Row],[% ACUMULADO  1º SEMEST 2026]]&lt;=Fluxo_de_Caixa_Janeiro310208[[#This Row],[% ACUMULADO  1º SEMEST 2025]],"VERDADEIRO","FALSO")</f>
        <v>VERDADEIRO</v>
      </c>
      <c r="T292" s="529">
        <v>0</v>
      </c>
      <c r="U292" s="601">
        <v>0</v>
      </c>
    </row>
    <row r="293" spans="2:21" ht="15.75" hidden="1" thickBot="1" x14ac:dyDescent="0.3">
      <c r="B293" s="280">
        <f>Fluxo_de_Caixa_Janeiro[[#This Row],[Fluxo de Caixa 2026 CTR]]</f>
        <v>0</v>
      </c>
      <c r="C293" s="163">
        <f>Fluxo_de_Caixa_Janeiro[[#This Row],[Janeiro]]</f>
        <v>0</v>
      </c>
      <c r="D293" s="106">
        <f>Fluxo_de_Caixa_Janeiro3[[#This Row],[Fevereiro]]</f>
        <v>0</v>
      </c>
      <c r="E293" s="106">
        <f>Fluxo_de_Caixa_Janeiro34[[#This Row],[Março]]</f>
        <v>0</v>
      </c>
      <c r="F293" s="106">
        <f>Fluxo_de_Caixa_Janeiro345[[#This Row],[ABRIL]]</f>
        <v>0</v>
      </c>
      <c r="G293" s="106">
        <f>Fluxo_de_Caixa_Janeiro3459[[#This Row],[MAIO]]</f>
        <v>0</v>
      </c>
      <c r="H293" s="106">
        <f>Fluxo_de_Caixa_Janeiro345911[[#This Row],[JUNHO]]</f>
        <v>0</v>
      </c>
      <c r="I293" s="163"/>
      <c r="J293" s="106"/>
      <c r="K293" s="106"/>
      <c r="L293" s="106"/>
      <c r="M293" s="106"/>
      <c r="N293" s="135"/>
      <c r="O293" s="236">
        <f>SUM(Fluxo_de_Caixa_Janeiro310208[[#This Row],[Janeiro]:[Dezembro]])</f>
        <v>0</v>
      </c>
      <c r="P293" s="148">
        <f t="shared" si="15"/>
        <v>0</v>
      </c>
      <c r="Q293" s="107">
        <v>0</v>
      </c>
      <c r="R293" s="32" t="str">
        <f>IF(Fluxo_de_Caixa_Janeiro310208[[#This Row],[% ACUMULADO  1º SEMEST 2026]]&lt;=Fluxo_de_Caixa_Janeiro310208[[#This Row],[% ACUMULADO  1º SEMEST 2025]],"VERDADEIRO","FALSO")</f>
        <v>VERDADEIRO</v>
      </c>
      <c r="T293" s="530">
        <v>0</v>
      </c>
      <c r="U293" s="602">
        <v>0</v>
      </c>
    </row>
    <row r="294" spans="2:21" ht="19.5" thickBot="1" x14ac:dyDescent="0.35">
      <c r="B294" s="168" t="str">
        <f>Fluxo_de_Caixa_Janeiro[[#This Row],[Fluxo de Caixa 2026 CTR]]</f>
        <v>5.2 DESPESA COM INVESTIMENTO</v>
      </c>
      <c r="C294" s="158">
        <f>Fluxo_de_Caixa_Janeiro[[#This Row],[Janeiro]]</f>
        <v>-12574.220000000001</v>
      </c>
      <c r="D294" s="97">
        <f>Fluxo_de_Caixa_Janeiro3[[#This Row],[Fevereiro]]</f>
        <v>-108972.08</v>
      </c>
      <c r="E294" s="97">
        <f>Fluxo_de_Caixa_Janeiro34[[#This Row],[Março]]</f>
        <v>-404188.3</v>
      </c>
      <c r="F294" s="97">
        <f>Fluxo_de_Caixa_Janeiro345[[#This Row],[ABRIL]]</f>
        <v>-224157.98</v>
      </c>
      <c r="G294" s="97">
        <f>Fluxo_de_Caixa_Janeiro3459[[#This Row],[MAIO]]</f>
        <v>-6695.82</v>
      </c>
      <c r="H294" s="97">
        <f>Fluxo_de_Caixa_Janeiro345911[[#This Row],[JUNHO]]</f>
        <v>0</v>
      </c>
      <c r="I294" s="158"/>
      <c r="J294" s="97"/>
      <c r="K294" s="97"/>
      <c r="L294" s="97"/>
      <c r="M294" s="97"/>
      <c r="N294" s="129"/>
      <c r="O294" s="226">
        <f>SUM(Fluxo_de_Caixa_Janeiro310208[[#This Row],[Janeiro]:[Dezembro]])</f>
        <v>-756588.39999999991</v>
      </c>
      <c r="P294" s="144">
        <f t="shared" si="15"/>
        <v>0.13836302148946364</v>
      </c>
      <c r="Q294" s="98">
        <v>4.9736862071193981E-2</v>
      </c>
      <c r="R294" s="32" t="str">
        <f>IF(Fluxo_de_Caixa_Janeiro310208[[#This Row],[% ACUMULADO  1º SEMEST 2026]]&lt;=Fluxo_de_Caixa_Janeiro310208[[#This Row],[% ACUMULADO  1º SEMEST 2025]],"VERDADEIRO","FALSO")</f>
        <v>FALSO</v>
      </c>
      <c r="T294" s="518">
        <v>-311372.71000000008</v>
      </c>
      <c r="U294" s="592">
        <v>4.9736862071193981E-2</v>
      </c>
    </row>
    <row r="295" spans="2:21" x14ac:dyDescent="0.25">
      <c r="B295" s="270" t="str">
        <f>Fluxo_de_Caixa_Janeiro[[#This Row],[Fluxo de Caixa 2026 CTR]]</f>
        <v>5.2.01. IMÓVEIS</v>
      </c>
      <c r="C295" s="45">
        <f>Fluxo_de_Caixa_Janeiro[[#This Row],[Janeiro]]</f>
        <v>0</v>
      </c>
      <c r="D295" s="80">
        <f>Fluxo_de_Caixa_Janeiro3[[#This Row],[Fevereiro]]</f>
        <v>100000</v>
      </c>
      <c r="E295" s="80">
        <f>Fluxo_de_Caixa_Janeiro34[[#This Row],[Março]]</f>
        <v>400000</v>
      </c>
      <c r="F295" s="80">
        <f>Fluxo_de_Caixa_Janeiro345[[#This Row],[ABRIL]]</f>
        <v>0</v>
      </c>
      <c r="G295" s="80">
        <f>Fluxo_de_Caixa_Janeiro3459[[#This Row],[MAIO]]</f>
        <v>0</v>
      </c>
      <c r="H295" s="80">
        <f>Fluxo_de_Caixa_Janeiro345911[[#This Row],[JUNHO]]</f>
        <v>0</v>
      </c>
      <c r="I295" s="45"/>
      <c r="J295" s="80"/>
      <c r="K295" s="80"/>
      <c r="L295" s="80"/>
      <c r="M295" s="80"/>
      <c r="N295" s="134"/>
      <c r="O295" s="235">
        <f>SUM(Fluxo_de_Caixa_Janeiro310208[[#This Row],[Janeiro]:[Dezembro]])</f>
        <v>500000</v>
      </c>
      <c r="P295" s="26">
        <f t="shared" si="15"/>
        <v>-9.1438767425897391E-2</v>
      </c>
      <c r="Q295" s="76">
        <v>-3.7906676134132349E-4</v>
      </c>
      <c r="R295" s="32" t="str">
        <f>IF(Fluxo_de_Caixa_Janeiro310208[[#This Row],[% ACUMULADO  1º SEMEST 2026]]&lt;=Fluxo_de_Caixa_Janeiro310208[[#This Row],[% ACUMULADO  1º SEMEST 2025]],"VERDADEIRO","FALSO")</f>
        <v>VERDADEIRO</v>
      </c>
      <c r="T295" s="529">
        <v>2373.11</v>
      </c>
      <c r="U295" s="601">
        <v>-3.7906676134132349E-4</v>
      </c>
    </row>
    <row r="296" spans="2:21" x14ac:dyDescent="0.25">
      <c r="B296" s="391" t="str">
        <f>Fluxo_de_Caixa_Janeiro[[#This Row],[Fluxo de Caixa 2026 CTR]]</f>
        <v>5.2.02. CONSTRUCAO E AMPLIAÇÕES EXTRUTURA</v>
      </c>
      <c r="C296" s="372">
        <f>Fluxo_de_Caixa_Janeiro[[#This Row],[Janeiro]]</f>
        <v>0</v>
      </c>
      <c r="D296" s="374">
        <f>Fluxo_de_Caixa_Janeiro3[[#This Row],[Fevereiro]]</f>
        <v>0</v>
      </c>
      <c r="E296" s="374">
        <f>Fluxo_de_Caixa_Janeiro34[[#This Row],[Março]]</f>
        <v>0</v>
      </c>
      <c r="F296" s="374">
        <f>Fluxo_de_Caixa_Janeiro345[[#This Row],[ABRIL]]</f>
        <v>0</v>
      </c>
      <c r="G296" s="374">
        <f>Fluxo_de_Caixa_Janeiro3459[[#This Row],[MAIO]]</f>
        <v>0</v>
      </c>
      <c r="H296" s="374">
        <f>Fluxo_de_Caixa_Janeiro345911[[#This Row],[JUNHO]]</f>
        <v>0</v>
      </c>
      <c r="I296" s="372"/>
      <c r="J296" s="374"/>
      <c r="K296" s="374"/>
      <c r="L296" s="374"/>
      <c r="M296" s="374"/>
      <c r="N296" s="376"/>
      <c r="O296" s="235">
        <f>SUM(Fluxo_de_Caixa_Janeiro310208[[#This Row],[Janeiro]:[Dezembro]])</f>
        <v>0</v>
      </c>
      <c r="P296" s="26">
        <f t="shared" si="15"/>
        <v>0</v>
      </c>
      <c r="Q296" s="76">
        <v>-2.3960125826952194E-4</v>
      </c>
      <c r="R296" s="32"/>
      <c r="T296" s="529">
        <v>1500</v>
      </c>
      <c r="U296" s="601">
        <v>-2.3960125826952194E-4</v>
      </c>
    </row>
    <row r="297" spans="2:21" x14ac:dyDescent="0.25">
      <c r="B297" s="391" t="str">
        <f>Fluxo_de_Caixa_Janeiro[[#This Row],[Fluxo de Caixa 2026 CTR]]</f>
        <v>5.2.03. LEASING</v>
      </c>
      <c r="C297" s="372">
        <f>Fluxo_de_Caixa_Janeiro[[#This Row],[Janeiro]]</f>
        <v>0</v>
      </c>
      <c r="D297" s="374">
        <f>Fluxo_de_Caixa_Janeiro3[[#This Row],[Fevereiro]]</f>
        <v>0</v>
      </c>
      <c r="E297" s="374">
        <f>Fluxo_de_Caixa_Janeiro34[[#This Row],[Março]]</f>
        <v>0</v>
      </c>
      <c r="F297" s="374">
        <f>Fluxo_de_Caixa_Janeiro345[[#This Row],[ABRIL]]</f>
        <v>0</v>
      </c>
      <c r="G297" s="374">
        <f>Fluxo_de_Caixa_Janeiro3459[[#This Row],[MAIO]]</f>
        <v>0</v>
      </c>
      <c r="H297" s="374">
        <f>Fluxo_de_Caixa_Janeiro345911[[#This Row],[JUNHO]]</f>
        <v>0</v>
      </c>
      <c r="I297" s="372"/>
      <c r="J297" s="374"/>
      <c r="K297" s="374"/>
      <c r="L297" s="374"/>
      <c r="M297" s="374"/>
      <c r="N297" s="376"/>
      <c r="O297" s="235">
        <f>SUM(Fluxo_de_Caixa_Janeiro310208[[#This Row],[Janeiro]:[Dezembro]])</f>
        <v>0</v>
      </c>
      <c r="P297" s="26">
        <f t="shared" si="15"/>
        <v>0</v>
      </c>
      <c r="Q297" s="76">
        <v>0</v>
      </c>
      <c r="R297" s="32"/>
      <c r="T297" s="529">
        <v>0</v>
      </c>
      <c r="U297" s="601">
        <v>0</v>
      </c>
    </row>
    <row r="298" spans="2:21" x14ac:dyDescent="0.25">
      <c r="B298" s="391" t="str">
        <f>Fluxo_de_Caixa_Janeiro[[#This Row],[Fluxo de Caixa 2026 CTR]]</f>
        <v>5.2.04. COMPRA DE TERRENOS</v>
      </c>
      <c r="C298" s="372">
        <f>Fluxo_de_Caixa_Janeiro[[#This Row],[Janeiro]]</f>
        <v>0</v>
      </c>
      <c r="D298" s="374">
        <f>Fluxo_de_Caixa_Janeiro3[[#This Row],[Fevereiro]]</f>
        <v>2373.11</v>
      </c>
      <c r="E298" s="374">
        <f>Fluxo_de_Caixa_Janeiro34[[#This Row],[Março]]</f>
        <v>2536.86</v>
      </c>
      <c r="F298" s="374">
        <f>Fluxo_de_Caixa_Janeiro345[[#This Row],[ABRIL]]</f>
        <v>2536.86</v>
      </c>
      <c r="G298" s="374">
        <f>Fluxo_de_Caixa_Janeiro3459[[#This Row],[MAIO]]</f>
        <v>0</v>
      </c>
      <c r="H298" s="374">
        <f>Fluxo_de_Caixa_Janeiro345911[[#This Row],[JUNHO]]</f>
        <v>0</v>
      </c>
      <c r="I298" s="372"/>
      <c r="J298" s="374"/>
      <c r="K298" s="374"/>
      <c r="L298" s="374"/>
      <c r="M298" s="374"/>
      <c r="N298" s="376"/>
      <c r="O298" s="235">
        <f>SUM(Fluxo_de_Caixa_Janeiro310208[[#This Row],[Janeiro]:[Dezembro]])</f>
        <v>7446.83</v>
      </c>
      <c r="P298" s="26">
        <f t="shared" si="15"/>
        <v>-1.361857912860391E-3</v>
      </c>
      <c r="Q298" s="76">
        <v>-2.4277916962503671E-3</v>
      </c>
      <c r="R298" s="32"/>
      <c r="T298" s="529">
        <v>15198.95</v>
      </c>
      <c r="U298" s="601">
        <v>-2.4277916962503671E-3</v>
      </c>
    </row>
    <row r="299" spans="2:21" x14ac:dyDescent="0.25">
      <c r="B299" s="391" t="str">
        <f>Fluxo_de_Caixa_Janeiro[[#This Row],[Fluxo de Caixa 2026 CTR]]</f>
        <v>5.2.06. AQUISICAO TITULO DE CAPITALIZACAO</v>
      </c>
      <c r="C299" s="372">
        <f>Fluxo_de_Caixa_Janeiro[[#This Row],[Janeiro]]</f>
        <v>664.71</v>
      </c>
      <c r="D299" s="374">
        <f>Fluxo_de_Caixa_Janeiro3[[#This Row],[Fevereiro]]</f>
        <v>664.71</v>
      </c>
      <c r="E299" s="374">
        <f>Fluxo_de_Caixa_Janeiro34[[#This Row],[Março]]</f>
        <v>669.64</v>
      </c>
      <c r="F299" s="374">
        <f>Fluxo_de_Caixa_Janeiro345[[#This Row],[ABRIL]]</f>
        <v>669.64</v>
      </c>
      <c r="G299" s="374">
        <f>Fluxo_de_Caixa_Janeiro3459[[#This Row],[MAIO]]</f>
        <v>669.64</v>
      </c>
      <c r="H299" s="374">
        <f>Fluxo_de_Caixa_Janeiro345911[[#This Row],[JUNHO]]</f>
        <v>0</v>
      </c>
      <c r="I299" s="372"/>
      <c r="J299" s="374"/>
      <c r="K299" s="374"/>
      <c r="L299" s="374"/>
      <c r="M299" s="374"/>
      <c r="N299" s="376"/>
      <c r="O299" s="235">
        <f>SUM(Fluxo_de_Caixa_Janeiro310208[[#This Row],[Janeiro]:[Dezembro]])</f>
        <v>3338.3399999999997</v>
      </c>
      <c r="P299" s="26">
        <f t="shared" si="15"/>
        <v>-6.1050738969714059E-4</v>
      </c>
      <c r="Q299" s="76">
        <v>-6.5169881013919309E-3</v>
      </c>
      <c r="R299" s="32"/>
      <c r="T299" s="529">
        <v>40798.960000000006</v>
      </c>
      <c r="U299" s="601">
        <v>-6.5169881013919309E-3</v>
      </c>
    </row>
    <row r="300" spans="2:21" x14ac:dyDescent="0.25">
      <c r="B300" s="391" t="str">
        <f>Fluxo_de_Caixa_Janeiro[[#This Row],[Fluxo de Caixa 2026 CTR]]</f>
        <v>5.2.07. CONSORCIOS</v>
      </c>
      <c r="C300" s="372">
        <f>Fluxo_de_Caixa_Janeiro[[#This Row],[Janeiro]]</f>
        <v>958.51</v>
      </c>
      <c r="D300" s="374">
        <f>Fluxo_de_Caixa_Janeiro3[[#This Row],[Fevereiro]]</f>
        <v>934.26</v>
      </c>
      <c r="E300" s="374">
        <f>Fluxo_de_Caixa_Janeiro34[[#This Row],[Março]]</f>
        <v>981.8</v>
      </c>
      <c r="F300" s="374">
        <f>Fluxo_de_Caixa_Janeiro345[[#This Row],[ABRIL]]</f>
        <v>951.48</v>
      </c>
      <c r="G300" s="374">
        <f>Fluxo_de_Caixa_Janeiro3459[[#This Row],[MAIO]]</f>
        <v>986.18</v>
      </c>
      <c r="H300" s="374">
        <f>Fluxo_de_Caixa_Janeiro345911[[#This Row],[JUNHO]]</f>
        <v>0</v>
      </c>
      <c r="I300" s="372"/>
      <c r="J300" s="374"/>
      <c r="K300" s="374"/>
      <c r="L300" s="374"/>
      <c r="M300" s="374"/>
      <c r="N300" s="376"/>
      <c r="O300" s="235">
        <f>SUM(Fluxo_de_Caixa_Janeiro310208[[#This Row],[Janeiro]:[Dezembro]])</f>
        <v>4812.2299999999996</v>
      </c>
      <c r="P300" s="26">
        <f t="shared" si="15"/>
        <v>-8.8004875953985237E-4</v>
      </c>
      <c r="Q300" s="76">
        <v>-1.7480860547662215E-3</v>
      </c>
      <c r="R300" s="32"/>
      <c r="T300" s="529">
        <v>10943.72</v>
      </c>
      <c r="U300" s="601">
        <v>-1.7480860547662215E-3</v>
      </c>
    </row>
    <row r="301" spans="2:21" x14ac:dyDescent="0.25">
      <c r="B301" s="391" t="str">
        <f>Fluxo_de_Caixa_Janeiro[[#This Row],[Fluxo de Caixa 2026 CTR]]</f>
        <v>5.2.08. INVESTIM NOVAS EMPRESAS E FILIAIS</v>
      </c>
      <c r="C301" s="372">
        <f>Fluxo_de_Caixa_Janeiro[[#This Row],[Janeiro]]</f>
        <v>0</v>
      </c>
      <c r="D301" s="374">
        <f>Fluxo_de_Caixa_Janeiro3[[#This Row],[Fevereiro]]</f>
        <v>0</v>
      </c>
      <c r="E301" s="374">
        <f>Fluxo_de_Caixa_Janeiro34[[#This Row],[Março]]</f>
        <v>0</v>
      </c>
      <c r="F301" s="374">
        <f>Fluxo_de_Caixa_Janeiro345[[#This Row],[ABRIL]]</f>
        <v>0</v>
      </c>
      <c r="G301" s="374">
        <f>Fluxo_de_Caixa_Janeiro3459[[#This Row],[MAIO]]</f>
        <v>5040</v>
      </c>
      <c r="H301" s="374">
        <f>Fluxo_de_Caixa_Janeiro345911[[#This Row],[JUNHO]]</f>
        <v>0</v>
      </c>
      <c r="I301" s="372"/>
      <c r="J301" s="374"/>
      <c r="K301" s="374"/>
      <c r="L301" s="374"/>
      <c r="M301" s="374"/>
      <c r="N301" s="376"/>
      <c r="O301" s="235">
        <f>SUM(Fluxo_de_Caixa_Janeiro310208[[#This Row],[Janeiro]:[Dezembro]])</f>
        <v>5040</v>
      </c>
      <c r="P301" s="26">
        <f t="shared" si="15"/>
        <v>-9.2170277565304575E-4</v>
      </c>
      <c r="Q301" s="76">
        <v>-3.0552963700003644E-2</v>
      </c>
      <c r="R301" s="32"/>
      <c r="T301" s="529">
        <v>191273.81</v>
      </c>
      <c r="U301" s="601">
        <v>-3.0552963700003644E-2</v>
      </c>
    </row>
    <row r="302" spans="2:21" x14ac:dyDescent="0.25">
      <c r="B302" s="391" t="str">
        <f>Fluxo_de_Caixa_Janeiro[[#This Row],[Fluxo de Caixa 2026 CTR]]</f>
        <v>5.2.14. FRETE COMPRA ATIVO IMOBILIZADO</v>
      </c>
      <c r="C302" s="373">
        <f>Fluxo_de_Caixa_Janeiro[[#This Row],[Janeiro]]</f>
        <v>0</v>
      </c>
      <c r="D302" s="375">
        <f>Fluxo_de_Caixa_Janeiro3[[#This Row],[Fevereiro]]</f>
        <v>0</v>
      </c>
      <c r="E302" s="375">
        <f>Fluxo_de_Caixa_Janeiro34[[#This Row],[Março]]</f>
        <v>0</v>
      </c>
      <c r="F302" s="375">
        <f>Fluxo_de_Caixa_Janeiro345[[#This Row],[ABRIL]]</f>
        <v>0</v>
      </c>
      <c r="G302" s="375">
        <f>Fluxo_de_Caixa_Janeiro3459[[#This Row],[MAIO]]</f>
        <v>0</v>
      </c>
      <c r="H302" s="375">
        <f>Fluxo_de_Caixa_Janeiro345911[[#This Row],[JUNHO]]</f>
        <v>0</v>
      </c>
      <c r="I302" s="373"/>
      <c r="J302" s="375"/>
      <c r="K302" s="375"/>
      <c r="L302" s="375"/>
      <c r="M302" s="375"/>
      <c r="N302" s="377"/>
      <c r="O302" s="235">
        <f>SUM(Fluxo_de_Caixa_Janeiro310208[[#This Row],[Janeiro]:[Dezembro]])</f>
        <v>0</v>
      </c>
      <c r="P302" s="26">
        <f t="shared" si="15"/>
        <v>0</v>
      </c>
      <c r="Q302" s="76">
        <v>-2.033885630313551E-3</v>
      </c>
      <c r="R302" s="32"/>
      <c r="T302" s="529">
        <v>12732.94</v>
      </c>
      <c r="U302" s="601">
        <v>-2.033885630313551E-3</v>
      </c>
    </row>
    <row r="303" spans="2:21" x14ac:dyDescent="0.25">
      <c r="B303" s="391" t="str">
        <f>Fluxo_de_Caixa_Janeiro[[#This Row],[Fluxo de Caixa 2026 CTR]]</f>
        <v>5.2.15. AQUISICAO DE NOVO SOFTWARE INFORMATICA</v>
      </c>
      <c r="C303" s="372">
        <f>Fluxo_de_Caixa_Janeiro[[#This Row],[Janeiro]]</f>
        <v>951</v>
      </c>
      <c r="D303" s="374">
        <f>Fluxo_de_Caixa_Janeiro3[[#This Row],[Fevereiro]]</f>
        <v>0</v>
      </c>
      <c r="E303" s="374">
        <f>Fluxo_de_Caixa_Janeiro34[[#This Row],[Março]]</f>
        <v>0</v>
      </c>
      <c r="F303" s="374">
        <f>Fluxo_de_Caixa_Janeiro345[[#This Row],[ABRIL]]</f>
        <v>0</v>
      </c>
      <c r="G303" s="374">
        <f>Fluxo_de_Caixa_Janeiro3459[[#This Row],[MAIO]]</f>
        <v>0</v>
      </c>
      <c r="H303" s="374">
        <f>Fluxo_de_Caixa_Janeiro345911[[#This Row],[JUNHO]]</f>
        <v>0</v>
      </c>
      <c r="I303" s="372"/>
      <c r="J303" s="374"/>
      <c r="K303" s="374"/>
      <c r="L303" s="374"/>
      <c r="M303" s="374"/>
      <c r="N303" s="376"/>
      <c r="O303" s="235">
        <f>SUM(Fluxo_de_Caixa_Janeiro310208[[#This Row],[Janeiro]:[Dezembro]])</f>
        <v>951</v>
      </c>
      <c r="P303" s="26">
        <f t="shared" si="15"/>
        <v>-1.7391653564405684E-4</v>
      </c>
      <c r="Q303" s="76">
        <v>0</v>
      </c>
      <c r="R303" s="32"/>
      <c r="T303" s="529">
        <v>0</v>
      </c>
      <c r="U303" s="601">
        <v>0</v>
      </c>
    </row>
    <row r="304" spans="2:21" x14ac:dyDescent="0.25">
      <c r="B304" s="391" t="str">
        <f>Fluxo_de_Caixa_Janeiro[[#This Row],[Fluxo de Caixa 2026 CTR]]</f>
        <v>5.2.16. PARTICIPACAO SOCIEDADE COOPERATI</v>
      </c>
      <c r="C304" s="372">
        <f>Fluxo_de_Caixa_Janeiro[[#This Row],[Janeiro]]</f>
        <v>0</v>
      </c>
      <c r="D304" s="374">
        <f>Fluxo_de_Caixa_Janeiro3[[#This Row],[Fevereiro]]</f>
        <v>0</v>
      </c>
      <c r="E304" s="374">
        <f>Fluxo_de_Caixa_Janeiro34[[#This Row],[Março]]</f>
        <v>0</v>
      </c>
      <c r="F304" s="374">
        <f>Fluxo_de_Caixa_Janeiro345[[#This Row],[ABRIL]]</f>
        <v>0</v>
      </c>
      <c r="G304" s="374">
        <f>Fluxo_de_Caixa_Janeiro3459[[#This Row],[MAIO]]</f>
        <v>0</v>
      </c>
      <c r="H304" s="374">
        <f>Fluxo_de_Caixa_Janeiro345911[[#This Row],[JUNHO]]</f>
        <v>0</v>
      </c>
      <c r="I304" s="372"/>
      <c r="J304" s="374"/>
      <c r="K304" s="374"/>
      <c r="L304" s="374"/>
      <c r="M304" s="374"/>
      <c r="N304" s="376"/>
      <c r="O304" s="235">
        <f>SUM(Fluxo_de_Caixa_Janeiro310208[[#This Row],[Janeiro]:[Dezembro]])</f>
        <v>0</v>
      </c>
      <c r="P304" s="26">
        <f t="shared" si="15"/>
        <v>0</v>
      </c>
      <c r="Q304" s="76">
        <v>-8.8048670388883926E-5</v>
      </c>
      <c r="R304" s="32"/>
      <c r="T304" s="529">
        <v>551.22</v>
      </c>
      <c r="U304" s="601">
        <v>-8.8048670388883926E-5</v>
      </c>
    </row>
    <row r="305" spans="2:21" ht="15.75" thickBot="1" x14ac:dyDescent="0.3">
      <c r="B305" s="391" t="str">
        <f>Fluxo_de_Caixa_Janeiro[[#This Row],[Fluxo de Caixa 2026 CTR]]</f>
        <v>5.2.17. DEVOLUÇÃO DE CAPITAL INVESTIDO</v>
      </c>
      <c r="C305" s="372">
        <f>Fluxo_de_Caixa_Janeiro[[#This Row],[Janeiro]]</f>
        <v>10000</v>
      </c>
      <c r="D305" s="374">
        <f>Fluxo_de_Caixa_Janeiro3[[#This Row],[Fevereiro]]</f>
        <v>5000</v>
      </c>
      <c r="E305" s="374">
        <f>Fluxo_de_Caixa_Janeiro34[[#This Row],[Março]]</f>
        <v>0</v>
      </c>
      <c r="F305" s="374">
        <f>Fluxo_de_Caixa_Janeiro345[[#This Row],[ABRIL]]</f>
        <v>220000</v>
      </c>
      <c r="G305" s="374">
        <f>Fluxo_de_Caixa_Janeiro3459[[#This Row],[MAIO]]</f>
        <v>0</v>
      </c>
      <c r="H305" s="374">
        <f>Fluxo_de_Caixa_Janeiro345911[[#This Row],[JUNHO]]</f>
        <v>0</v>
      </c>
      <c r="I305" s="372"/>
      <c r="J305" s="374"/>
      <c r="K305" s="374"/>
      <c r="L305" s="374"/>
      <c r="M305" s="374"/>
      <c r="N305" s="376"/>
      <c r="O305" s="235">
        <f>SUM(Fluxo_de_Caixa_Janeiro310208[[#This Row],[Janeiro]:[Dezembro]])</f>
        <v>235000</v>
      </c>
      <c r="P305" s="26">
        <f t="shared" ref="P305:P325" si="16">-IFERROR(O305/$O$332,"0,00")</f>
        <v>-4.2976220690171776E-2</v>
      </c>
      <c r="Q305" s="76">
        <v>-5.7504301984685263E-3</v>
      </c>
      <c r="R305" s="32"/>
      <c r="T305" s="529">
        <v>36000</v>
      </c>
      <c r="U305" s="601">
        <v>-5.7504301984685263E-3</v>
      </c>
    </row>
    <row r="306" spans="2:21" hidden="1" x14ac:dyDescent="0.25">
      <c r="B306" s="391">
        <f>Fluxo_de_Caixa_Janeiro[[#This Row],[Fluxo de Caixa 2026 CTR]]</f>
        <v>0</v>
      </c>
      <c r="C306" s="373">
        <f>Fluxo_de_Caixa_Janeiro[[#This Row],[Janeiro]]</f>
        <v>0</v>
      </c>
      <c r="D306" s="375">
        <f>Fluxo_de_Caixa_Janeiro3[[#This Row],[Fevereiro]]</f>
        <v>0</v>
      </c>
      <c r="E306" s="375">
        <f>Fluxo_de_Caixa_Janeiro34[[#This Row],[Março]]</f>
        <v>0</v>
      </c>
      <c r="F306" s="375">
        <f>Fluxo_de_Caixa_Janeiro345[[#This Row],[ABRIL]]</f>
        <v>0</v>
      </c>
      <c r="G306" s="375">
        <f>Fluxo_de_Caixa_Janeiro3459[[#This Row],[MAIO]]</f>
        <v>0</v>
      </c>
      <c r="H306" s="375">
        <f>Fluxo_de_Caixa_Janeiro345911[[#This Row],[JUNHO]]</f>
        <v>0</v>
      </c>
      <c r="I306" s="373"/>
      <c r="J306" s="375"/>
      <c r="K306" s="375"/>
      <c r="L306" s="375"/>
      <c r="M306" s="375"/>
      <c r="N306" s="377"/>
      <c r="O306" s="235">
        <f>SUM(Fluxo_de_Caixa_Janeiro310208[[#This Row],[Janeiro]:[Dezembro]])</f>
        <v>0</v>
      </c>
      <c r="P306" s="26">
        <f t="shared" si="16"/>
        <v>0</v>
      </c>
      <c r="Q306" s="76">
        <v>0</v>
      </c>
      <c r="R306" s="32"/>
      <c r="T306" s="529">
        <v>0</v>
      </c>
      <c r="U306" s="601">
        <v>0</v>
      </c>
    </row>
    <row r="307" spans="2:21" hidden="1" x14ac:dyDescent="0.25">
      <c r="B307" s="392">
        <f>Fluxo_de_Caixa_Janeiro[[#This Row],[Fluxo de Caixa 2026 CTR]]</f>
        <v>0</v>
      </c>
      <c r="C307" s="372">
        <f>Fluxo_de_Caixa_Janeiro[[#This Row],[Janeiro]]</f>
        <v>0</v>
      </c>
      <c r="D307" s="374">
        <f>Fluxo_de_Caixa_Janeiro3[[#This Row],[Fevereiro]]</f>
        <v>0</v>
      </c>
      <c r="E307" s="374">
        <f>Fluxo_de_Caixa_Janeiro34[[#This Row],[Março]]</f>
        <v>0</v>
      </c>
      <c r="F307" s="374">
        <f>Fluxo_de_Caixa_Janeiro345[[#This Row],[ABRIL]]</f>
        <v>0</v>
      </c>
      <c r="G307" s="374">
        <f>Fluxo_de_Caixa_Janeiro3459[[#This Row],[MAIO]]</f>
        <v>0</v>
      </c>
      <c r="H307" s="374">
        <f>Fluxo_de_Caixa_Janeiro345911[[#This Row],[JUNHO]]</f>
        <v>0</v>
      </c>
      <c r="I307" s="372"/>
      <c r="J307" s="374"/>
      <c r="K307" s="374"/>
      <c r="L307" s="374"/>
      <c r="M307" s="374"/>
      <c r="N307" s="376"/>
      <c r="O307" s="235">
        <f>SUM(Fluxo_de_Caixa_Janeiro310208[[#This Row],[Janeiro]:[Dezembro]])</f>
        <v>0</v>
      </c>
      <c r="P307" s="26">
        <f t="shared" si="16"/>
        <v>0</v>
      </c>
      <c r="Q307" s="76">
        <v>0</v>
      </c>
      <c r="R307" s="32"/>
      <c r="T307" s="529">
        <v>0</v>
      </c>
      <c r="U307" s="601">
        <v>0</v>
      </c>
    </row>
    <row r="308" spans="2:21" hidden="1" x14ac:dyDescent="0.25">
      <c r="B308" s="392">
        <f>Fluxo_de_Caixa_Janeiro[[#This Row],[Fluxo de Caixa 2026 CTR]]</f>
        <v>0</v>
      </c>
      <c r="C308" s="372">
        <f>Fluxo_de_Caixa_Janeiro[[#This Row],[Janeiro]]</f>
        <v>0</v>
      </c>
      <c r="D308" s="374">
        <f>Fluxo_de_Caixa_Janeiro3[[#This Row],[Fevereiro]]</f>
        <v>0</v>
      </c>
      <c r="E308" s="374">
        <f>Fluxo_de_Caixa_Janeiro34[[#This Row],[Março]]</f>
        <v>0</v>
      </c>
      <c r="F308" s="374">
        <f>Fluxo_de_Caixa_Janeiro345[[#This Row],[ABRIL]]</f>
        <v>0</v>
      </c>
      <c r="G308" s="374">
        <f>Fluxo_de_Caixa_Janeiro3459[[#This Row],[MAIO]]</f>
        <v>0</v>
      </c>
      <c r="H308" s="374">
        <f>Fluxo_de_Caixa_Janeiro345911[[#This Row],[JUNHO]]</f>
        <v>0</v>
      </c>
      <c r="I308" s="372"/>
      <c r="J308" s="374"/>
      <c r="K308" s="374"/>
      <c r="L308" s="374"/>
      <c r="M308" s="374"/>
      <c r="N308" s="376"/>
      <c r="O308" s="235">
        <f>SUM(Fluxo_de_Caixa_Janeiro310208[[#This Row],[Janeiro]:[Dezembro]])</f>
        <v>0</v>
      </c>
      <c r="P308" s="26">
        <f t="shared" si="16"/>
        <v>0</v>
      </c>
      <c r="Q308" s="76">
        <v>0</v>
      </c>
      <c r="R308" s="32"/>
      <c r="T308" s="529">
        <v>0</v>
      </c>
      <c r="U308" s="601">
        <v>0</v>
      </c>
    </row>
    <row r="309" spans="2:21" hidden="1" x14ac:dyDescent="0.25">
      <c r="B309" s="392">
        <f>Fluxo_de_Caixa_Janeiro[[#This Row],[Fluxo de Caixa 2026 CTR]]</f>
        <v>0</v>
      </c>
      <c r="C309" s="373">
        <f>Fluxo_de_Caixa_Janeiro[[#This Row],[Janeiro]]</f>
        <v>0</v>
      </c>
      <c r="D309" s="375">
        <f>Fluxo_de_Caixa_Janeiro3[[#This Row],[Fevereiro]]</f>
        <v>0</v>
      </c>
      <c r="E309" s="375">
        <f>Fluxo_de_Caixa_Janeiro34[[#This Row],[Março]]</f>
        <v>0</v>
      </c>
      <c r="F309" s="375">
        <f>Fluxo_de_Caixa_Janeiro345[[#This Row],[ABRIL]]</f>
        <v>0</v>
      </c>
      <c r="G309" s="375">
        <f>Fluxo_de_Caixa_Janeiro3459[[#This Row],[MAIO]]</f>
        <v>0</v>
      </c>
      <c r="H309" s="375">
        <f>Fluxo_de_Caixa_Janeiro345911[[#This Row],[JUNHO]]</f>
        <v>0</v>
      </c>
      <c r="I309" s="373"/>
      <c r="J309" s="375"/>
      <c r="K309" s="375"/>
      <c r="L309" s="375"/>
      <c r="M309" s="375"/>
      <c r="N309" s="377"/>
      <c r="O309" s="235">
        <f>SUM(Fluxo_de_Caixa_Janeiro310208[[#This Row],[Janeiro]:[Dezembro]])</f>
        <v>0</v>
      </c>
      <c r="P309" s="26">
        <f t="shared" si="16"/>
        <v>0</v>
      </c>
      <c r="Q309" s="76">
        <v>0</v>
      </c>
      <c r="R309" s="32"/>
      <c r="T309" s="529">
        <v>0</v>
      </c>
      <c r="U309" s="601">
        <v>0</v>
      </c>
    </row>
    <row r="310" spans="2:21" hidden="1" x14ac:dyDescent="0.25">
      <c r="B310" s="270">
        <f>Fluxo_de_Caixa_Janeiro[[#This Row],[Fluxo de Caixa 2026 CTR]]</f>
        <v>0</v>
      </c>
      <c r="C310" s="45">
        <f>Fluxo_de_Caixa_Janeiro[[#This Row],[Janeiro]]</f>
        <v>0</v>
      </c>
      <c r="D310" s="80">
        <f>Fluxo_de_Caixa_Janeiro3[[#This Row],[Fevereiro]]</f>
        <v>0</v>
      </c>
      <c r="E310" s="80">
        <f>Fluxo_de_Caixa_Janeiro34[[#This Row],[Março]]</f>
        <v>0</v>
      </c>
      <c r="F310" s="80">
        <f>Fluxo_de_Caixa_Janeiro345[[#This Row],[ABRIL]]</f>
        <v>0</v>
      </c>
      <c r="G310" s="80">
        <f>Fluxo_de_Caixa_Janeiro3459[[#This Row],[MAIO]]</f>
        <v>0</v>
      </c>
      <c r="H310" s="80">
        <f>Fluxo_de_Caixa_Janeiro345911[[#This Row],[JUNHO]]</f>
        <v>0</v>
      </c>
      <c r="I310" s="45"/>
      <c r="J310" s="80"/>
      <c r="K310" s="80"/>
      <c r="L310" s="80"/>
      <c r="M310" s="80"/>
      <c r="N310" s="134"/>
      <c r="O310" s="235">
        <f>SUM(Fluxo_de_Caixa_Janeiro310208[[#This Row],[Janeiro]:[Dezembro]])</f>
        <v>0</v>
      </c>
      <c r="P310" s="26">
        <f t="shared" si="16"/>
        <v>0</v>
      </c>
      <c r="Q310" s="76">
        <v>0</v>
      </c>
      <c r="R310" s="32" t="str">
        <f>IF(Fluxo_de_Caixa_Janeiro310208[[#This Row],[% ACUMULADO  1º SEMEST 2026]]&lt;=Fluxo_de_Caixa_Janeiro310208[[#This Row],[% ACUMULADO  1º SEMEST 2025]],"VERDADEIRO","FALSO")</f>
        <v>VERDADEIRO</v>
      </c>
      <c r="T310" s="529">
        <v>0</v>
      </c>
      <c r="U310" s="601">
        <v>0</v>
      </c>
    </row>
    <row r="311" spans="2:21" hidden="1" x14ac:dyDescent="0.25">
      <c r="B311" s="270">
        <f>Fluxo_de_Caixa_Janeiro[[#This Row],[Fluxo de Caixa 2026 CTR]]</f>
        <v>0</v>
      </c>
      <c r="C311" s="45">
        <f>Fluxo_de_Caixa_Janeiro[[#This Row],[Janeiro]]</f>
        <v>0</v>
      </c>
      <c r="D311" s="80">
        <f>Fluxo_de_Caixa_Janeiro3[[#This Row],[Fevereiro]]</f>
        <v>0</v>
      </c>
      <c r="E311" s="80">
        <f>Fluxo_de_Caixa_Janeiro34[[#This Row],[Março]]</f>
        <v>0</v>
      </c>
      <c r="F311" s="80">
        <f>Fluxo_de_Caixa_Janeiro345[[#This Row],[ABRIL]]</f>
        <v>0</v>
      </c>
      <c r="G311" s="80">
        <f>Fluxo_de_Caixa_Janeiro3459[[#This Row],[MAIO]]</f>
        <v>0</v>
      </c>
      <c r="H311" s="80">
        <f>Fluxo_de_Caixa_Janeiro345911[[#This Row],[JUNHO]]</f>
        <v>0</v>
      </c>
      <c r="I311" s="45"/>
      <c r="J311" s="80"/>
      <c r="K311" s="80"/>
      <c r="L311" s="80"/>
      <c r="M311" s="80"/>
      <c r="N311" s="134"/>
      <c r="O311" s="235">
        <f>SUM(Fluxo_de_Caixa_Janeiro310208[[#This Row],[Janeiro]:[Dezembro]])</f>
        <v>0</v>
      </c>
      <c r="P311" s="26">
        <f t="shared" si="16"/>
        <v>0</v>
      </c>
      <c r="Q311" s="76">
        <v>0</v>
      </c>
      <c r="R311" s="32" t="str">
        <f>IF(Fluxo_de_Caixa_Janeiro310208[[#This Row],[% ACUMULADO  1º SEMEST 2026]]&lt;=Fluxo_de_Caixa_Janeiro310208[[#This Row],[% ACUMULADO  1º SEMEST 2025]],"VERDADEIRO","FALSO")</f>
        <v>VERDADEIRO</v>
      </c>
      <c r="T311" s="529">
        <v>0</v>
      </c>
      <c r="U311" s="601">
        <v>0</v>
      </c>
    </row>
    <row r="312" spans="2:21" hidden="1" x14ac:dyDescent="0.25">
      <c r="B312" s="270">
        <f>Fluxo_de_Caixa_Janeiro[[#This Row],[Fluxo de Caixa 2026 CTR]]</f>
        <v>0</v>
      </c>
      <c r="C312" s="45">
        <f>Fluxo_de_Caixa_Janeiro[[#This Row],[Janeiro]]</f>
        <v>0</v>
      </c>
      <c r="D312" s="80">
        <f>Fluxo_de_Caixa_Janeiro3[[#This Row],[Fevereiro]]</f>
        <v>0</v>
      </c>
      <c r="E312" s="80">
        <f>Fluxo_de_Caixa_Janeiro34[[#This Row],[Março]]</f>
        <v>0</v>
      </c>
      <c r="F312" s="80">
        <f>Fluxo_de_Caixa_Janeiro345[[#This Row],[ABRIL]]</f>
        <v>0</v>
      </c>
      <c r="G312" s="80">
        <f>Fluxo_de_Caixa_Janeiro3459[[#This Row],[MAIO]]</f>
        <v>0</v>
      </c>
      <c r="H312" s="80">
        <f>Fluxo_de_Caixa_Janeiro345911[[#This Row],[JUNHO]]</f>
        <v>0</v>
      </c>
      <c r="I312" s="45"/>
      <c r="J312" s="80"/>
      <c r="K312" s="80"/>
      <c r="L312" s="80"/>
      <c r="M312" s="80"/>
      <c r="N312" s="134"/>
      <c r="O312" s="235">
        <f>SUM(Fluxo_de_Caixa_Janeiro310208[[#This Row],[Janeiro]:[Dezembro]])</f>
        <v>0</v>
      </c>
      <c r="P312" s="26">
        <f t="shared" si="16"/>
        <v>0</v>
      </c>
      <c r="Q312" s="76">
        <v>0</v>
      </c>
      <c r="R312" s="32" t="str">
        <f>IF(Fluxo_de_Caixa_Janeiro310208[[#This Row],[% ACUMULADO  1º SEMEST 2026]]&lt;=Fluxo_de_Caixa_Janeiro310208[[#This Row],[% ACUMULADO  1º SEMEST 2025]],"VERDADEIRO","FALSO")</f>
        <v>VERDADEIRO</v>
      </c>
      <c r="T312" s="529">
        <v>0</v>
      </c>
      <c r="U312" s="601">
        <v>0</v>
      </c>
    </row>
    <row r="313" spans="2:21" hidden="1" x14ac:dyDescent="0.25">
      <c r="B313" s="270">
        <f>Fluxo_de_Caixa_Janeiro[[#This Row],[Fluxo de Caixa 2026 CTR]]</f>
        <v>0</v>
      </c>
      <c r="C313" s="45">
        <f>Fluxo_de_Caixa_Janeiro[[#This Row],[Janeiro]]</f>
        <v>0</v>
      </c>
      <c r="D313" s="80">
        <f>Fluxo_de_Caixa_Janeiro3[[#This Row],[Fevereiro]]</f>
        <v>0</v>
      </c>
      <c r="E313" s="80">
        <f>Fluxo_de_Caixa_Janeiro34[[#This Row],[Março]]</f>
        <v>0</v>
      </c>
      <c r="F313" s="80">
        <f>Fluxo_de_Caixa_Janeiro345[[#This Row],[ABRIL]]</f>
        <v>0</v>
      </c>
      <c r="G313" s="80">
        <f>Fluxo_de_Caixa_Janeiro3459[[#This Row],[MAIO]]</f>
        <v>0</v>
      </c>
      <c r="H313" s="80">
        <f>Fluxo_de_Caixa_Janeiro345911[[#This Row],[JUNHO]]</f>
        <v>0</v>
      </c>
      <c r="I313" s="45"/>
      <c r="J313" s="80"/>
      <c r="K313" s="80"/>
      <c r="L313" s="80"/>
      <c r="M313" s="80"/>
      <c r="N313" s="134"/>
      <c r="O313" s="235">
        <f>SUM(Fluxo_de_Caixa_Janeiro310208[[#This Row],[Janeiro]:[Dezembro]])</f>
        <v>0</v>
      </c>
      <c r="P313" s="26">
        <f t="shared" si="16"/>
        <v>0</v>
      </c>
      <c r="Q313" s="76">
        <v>0</v>
      </c>
      <c r="R313" s="32" t="str">
        <f>IF(Fluxo_de_Caixa_Janeiro310208[[#This Row],[% ACUMULADO  1º SEMEST 2026]]&lt;=Fluxo_de_Caixa_Janeiro310208[[#This Row],[% ACUMULADO  1º SEMEST 2025]],"VERDADEIRO","FALSO")</f>
        <v>VERDADEIRO</v>
      </c>
      <c r="T313" s="529">
        <v>0</v>
      </c>
      <c r="U313" s="601">
        <v>0</v>
      </c>
    </row>
    <row r="314" spans="2:21" ht="15.75" hidden="1" thickBot="1" x14ac:dyDescent="0.3">
      <c r="B314" s="280">
        <f>Fluxo_de_Caixa_Janeiro[[#This Row],[Fluxo de Caixa 2026 CTR]]</f>
        <v>0</v>
      </c>
      <c r="C314" s="163">
        <f>Fluxo_de_Caixa_Janeiro[[#This Row],[Janeiro]]</f>
        <v>0</v>
      </c>
      <c r="D314" s="106">
        <f>Fluxo_de_Caixa_Janeiro3[[#This Row],[Fevereiro]]</f>
        <v>0</v>
      </c>
      <c r="E314" s="106">
        <f>Fluxo_de_Caixa_Janeiro34[[#This Row],[Março]]</f>
        <v>0</v>
      </c>
      <c r="F314" s="106">
        <f>Fluxo_de_Caixa_Janeiro345[[#This Row],[ABRIL]]</f>
        <v>0</v>
      </c>
      <c r="G314" s="106">
        <f>Fluxo_de_Caixa_Janeiro3459[[#This Row],[MAIO]]</f>
        <v>0</v>
      </c>
      <c r="H314" s="106">
        <f>Fluxo_de_Caixa_Janeiro345911[[#This Row],[JUNHO]]</f>
        <v>0</v>
      </c>
      <c r="I314" s="163"/>
      <c r="J314" s="106"/>
      <c r="K314" s="106"/>
      <c r="L314" s="106"/>
      <c r="M314" s="106"/>
      <c r="N314" s="135"/>
      <c r="O314" s="236">
        <f>SUM(Fluxo_de_Caixa_Janeiro310208[[#This Row],[Janeiro]:[Dezembro]])</f>
        <v>0</v>
      </c>
      <c r="P314" s="148">
        <f t="shared" si="16"/>
        <v>0</v>
      </c>
      <c r="Q314" s="107">
        <v>0</v>
      </c>
      <c r="R314" s="32" t="str">
        <f>IF(Fluxo_de_Caixa_Janeiro310208[[#This Row],[% ACUMULADO  1º SEMEST 2026]]&lt;=Fluxo_de_Caixa_Janeiro310208[[#This Row],[% ACUMULADO  1º SEMEST 2025]],"VERDADEIRO","FALSO")</f>
        <v>VERDADEIRO</v>
      </c>
      <c r="T314" s="530">
        <v>0</v>
      </c>
      <c r="U314" s="602">
        <v>0</v>
      </c>
    </row>
    <row r="315" spans="2:21" ht="19.5" thickBot="1" x14ac:dyDescent="0.35">
      <c r="B315" s="168" t="str">
        <f>Fluxo_de_Caixa_Janeiro[[#This Row],[Fluxo de Caixa 2026 CTR]]</f>
        <v>5.3. INVESTIMENTO EM IMOBILIZADOS</v>
      </c>
      <c r="C315" s="158">
        <f>Fluxo_de_Caixa_Janeiro[[#This Row],[Janeiro]]</f>
        <v>0</v>
      </c>
      <c r="D315" s="97">
        <f>Fluxo_de_Caixa_Janeiro3[[#This Row],[Fevereiro]]</f>
        <v>-1450</v>
      </c>
      <c r="E315" s="97">
        <f>Fluxo_de_Caixa_Janeiro34[[#This Row],[Março]]</f>
        <v>-11750.66</v>
      </c>
      <c r="F315" s="97">
        <f>Fluxo_de_Caixa_Janeiro345[[#This Row],[ABRIL]]</f>
        <v>-11641.8</v>
      </c>
      <c r="G315" s="97">
        <f>Fluxo_de_Caixa_Janeiro3459[[#This Row],[MAIO]]</f>
        <v>-11423.84</v>
      </c>
      <c r="H315" s="97">
        <f>Fluxo_de_Caixa_Janeiro345911[[#This Row],[JUNHO]]</f>
        <v>0</v>
      </c>
      <c r="I315" s="158"/>
      <c r="J315" s="97"/>
      <c r="K315" s="97"/>
      <c r="L315" s="97"/>
      <c r="M315" s="97"/>
      <c r="N315" s="129"/>
      <c r="O315" s="226">
        <f>SUM(Fluxo_de_Caixa_Janeiro310208[[#This Row],[Janeiro]:[Dezembro]])</f>
        <v>-36266.300000000003</v>
      </c>
      <c r="P315" s="144">
        <f t="shared" si="16"/>
        <v>6.6322915421956462E-3</v>
      </c>
      <c r="Q315" s="98">
        <v>1.0262615470275661E-2</v>
      </c>
      <c r="R315" s="32" t="str">
        <f>IF(Fluxo_de_Caixa_Janeiro310208[[#This Row],[% ACUMULADO  1º SEMEST 2026]]&lt;=Fluxo_de_Caixa_Janeiro310208[[#This Row],[% ACUMULADO  1º SEMEST 2025]],"VERDADEIRO","FALSO")</f>
        <v>VERDADEIRO</v>
      </c>
      <c r="T315" s="518">
        <v>-64248.090000000011</v>
      </c>
      <c r="U315" s="592">
        <v>1.0262615470275661E-2</v>
      </c>
    </row>
    <row r="316" spans="2:21" ht="15" customHeight="1" x14ac:dyDescent="0.25">
      <c r="B316" s="279" t="str">
        <f>Fluxo_de_Caixa_Janeiro[[#This Row],[Fluxo de Caixa 2026 CTR]]</f>
        <v>5.3.01.MOVEIS E UTENSI. IMOBILIZADOS</v>
      </c>
      <c r="C316" s="162">
        <f>Fluxo_de_Caixa_Janeiro[[#This Row],[Janeiro]]</f>
        <v>0</v>
      </c>
      <c r="D316" s="104">
        <f>Fluxo_de_Caixa_Janeiro3[[#This Row],[Fevereiro]]</f>
        <v>0</v>
      </c>
      <c r="E316" s="104">
        <f>Fluxo_de_Caixa_Janeiro34[[#This Row],[Março]]</f>
        <v>5270</v>
      </c>
      <c r="F316" s="104">
        <f>Fluxo_de_Caixa_Janeiro345[[#This Row],[ABRIL]]</f>
        <v>1929</v>
      </c>
      <c r="G316" s="104">
        <f>Fluxo_de_Caixa_Janeiro3459[[#This Row],[MAIO]]</f>
        <v>0</v>
      </c>
      <c r="H316" s="104">
        <f>Fluxo_de_Caixa_Janeiro345911[[#This Row],[JUNHO]]</f>
        <v>0</v>
      </c>
      <c r="I316" s="162"/>
      <c r="J316" s="104"/>
      <c r="K316" s="104"/>
      <c r="L316" s="104"/>
      <c r="M316" s="104"/>
      <c r="N316" s="133"/>
      <c r="O316" s="234">
        <f>SUM(Fluxo_de_Caixa_Janeiro310208[[#This Row],[Janeiro]:[Dezembro]])</f>
        <v>7199</v>
      </c>
      <c r="P316" s="147">
        <f t="shared" si="16"/>
        <v>-1.3165353733980707E-3</v>
      </c>
      <c r="Q316" s="105">
        <v>-9.9035138831150716E-3</v>
      </c>
      <c r="R316" s="32" t="str">
        <f>IF(Fluxo_de_Caixa_Janeiro310208[[#This Row],[% ACUMULADO  1º SEMEST 2026]]&lt;=Fluxo_de_Caixa_Janeiro310208[[#This Row],[% ACUMULADO  1º SEMEST 2025]],"VERDADEIRO","FALSO")</f>
        <v>FALSO</v>
      </c>
      <c r="T316" s="528">
        <v>61999.969999999987</v>
      </c>
      <c r="U316" s="600">
        <v>-9.9035138831150716E-3</v>
      </c>
    </row>
    <row r="317" spans="2:21" ht="15" customHeight="1" x14ac:dyDescent="0.25">
      <c r="B317" s="391" t="str">
        <f>Fluxo_de_Caixa_Janeiro[[#This Row],[Fluxo de Caixa 2026 CTR]]</f>
        <v>5.3.02.MAQUINAS E EQUIPAM. IMOBILIZADOS</v>
      </c>
      <c r="C317" s="372">
        <f>Fluxo_de_Caixa_Janeiro[[#This Row],[Janeiro]]</f>
        <v>0</v>
      </c>
      <c r="D317" s="374">
        <f>Fluxo_de_Caixa_Janeiro3[[#This Row],[Fevereiro]]</f>
        <v>1450</v>
      </c>
      <c r="E317" s="374">
        <f>Fluxo_de_Caixa_Janeiro34[[#This Row],[Março]]</f>
        <v>6480.66</v>
      </c>
      <c r="F317" s="374">
        <f>Fluxo_de_Caixa_Janeiro345[[#This Row],[ABRIL]]</f>
        <v>5637.8</v>
      </c>
      <c r="G317" s="374">
        <f>Fluxo_de_Caixa_Janeiro3459[[#This Row],[MAIO]]</f>
        <v>6423.84</v>
      </c>
      <c r="H317" s="374">
        <f>Fluxo_de_Caixa_Janeiro345911[[#This Row],[JUNHO]]</f>
        <v>0</v>
      </c>
      <c r="I317" s="372"/>
      <c r="J317" s="374"/>
      <c r="K317" s="374"/>
      <c r="L317" s="374"/>
      <c r="M317" s="374"/>
      <c r="N317" s="376"/>
      <c r="O317" s="234">
        <f>SUM(Fluxo_de_Caixa_Janeiro310208[[#This Row],[Janeiro]:[Dezembro]])</f>
        <v>19992.3</v>
      </c>
      <c r="P317" s="147">
        <f t="shared" si="16"/>
        <v>-3.656142540017537E-3</v>
      </c>
      <c r="Q317" s="105">
        <v>-1.5973417217968128E-5</v>
      </c>
      <c r="R317" s="32"/>
      <c r="T317" s="528">
        <v>100</v>
      </c>
      <c r="U317" s="600">
        <v>-1.5973417217968128E-5</v>
      </c>
    </row>
    <row r="318" spans="2:21" ht="15" customHeight="1" x14ac:dyDescent="0.25">
      <c r="B318" s="391" t="str">
        <f>Fluxo_de_Caixa_Janeiro[[#This Row],[Fluxo de Caixa 2026 CTR]]</f>
        <v>5.3.03.EQUIP. INFORMATICA IMOBILIZADOS</v>
      </c>
      <c r="C318" s="379">
        <f>Fluxo_de_Caixa_Janeiro[[#This Row],[Janeiro]]</f>
        <v>0</v>
      </c>
      <c r="D318" s="381">
        <f>Fluxo_de_Caixa_Janeiro3[[#This Row],[Fevereiro]]</f>
        <v>0</v>
      </c>
      <c r="E318" s="381">
        <f>Fluxo_de_Caixa_Janeiro34[[#This Row],[Março]]</f>
        <v>0</v>
      </c>
      <c r="F318" s="381">
        <f>Fluxo_de_Caixa_Janeiro345[[#This Row],[ABRIL]]</f>
        <v>4075</v>
      </c>
      <c r="G318" s="381">
        <f>Fluxo_de_Caixa_Janeiro3459[[#This Row],[MAIO]]</f>
        <v>0</v>
      </c>
      <c r="H318" s="381">
        <f>Fluxo_de_Caixa_Janeiro345911[[#This Row],[JUNHO]]</f>
        <v>0</v>
      </c>
      <c r="I318" s="379"/>
      <c r="J318" s="381"/>
      <c r="K318" s="381"/>
      <c r="L318" s="381"/>
      <c r="M318" s="381"/>
      <c r="N318" s="383"/>
      <c r="O318" s="234">
        <f>SUM(Fluxo_de_Caixa_Janeiro310208[[#This Row],[Janeiro]:[Dezembro]])</f>
        <v>4075</v>
      </c>
      <c r="P318" s="147">
        <f t="shared" si="16"/>
        <v>-7.4522595452106372E-4</v>
      </c>
      <c r="Q318" s="105">
        <v>-1.1710431630836795E-4</v>
      </c>
      <c r="R318" s="32"/>
      <c r="T318" s="528">
        <v>733.12</v>
      </c>
      <c r="U318" s="600">
        <v>-1.1710431630836795E-4</v>
      </c>
    </row>
    <row r="319" spans="2:21" ht="15" customHeight="1" x14ac:dyDescent="0.25">
      <c r="B319" s="391" t="str">
        <f>Fluxo_de_Caixa_Janeiro[[#This Row],[Fluxo de Caixa 2026 CTR]]</f>
        <v>5.3.05.AQUISICAO DE VEICU PESADO-IMOB</v>
      </c>
      <c r="C319" s="379">
        <f>Fluxo_de_Caixa_Janeiro[[#This Row],[Janeiro]]</f>
        <v>0</v>
      </c>
      <c r="D319" s="381">
        <f>Fluxo_de_Caixa_Janeiro3[[#This Row],[Fevereiro]]</f>
        <v>0</v>
      </c>
      <c r="E319" s="381">
        <f>Fluxo_de_Caixa_Janeiro34[[#This Row],[Março]]</f>
        <v>0</v>
      </c>
      <c r="F319" s="381">
        <f>Fluxo_de_Caixa_Janeiro345[[#This Row],[ABRIL]]</f>
        <v>0</v>
      </c>
      <c r="G319" s="381">
        <f>Fluxo_de_Caixa_Janeiro3459[[#This Row],[MAIO]]</f>
        <v>0</v>
      </c>
      <c r="H319" s="381">
        <f>Fluxo_de_Caixa_Janeiro345911[[#This Row],[JUNHO]]</f>
        <v>0</v>
      </c>
      <c r="I319" s="379"/>
      <c r="J319" s="381"/>
      <c r="K319" s="381"/>
      <c r="L319" s="381"/>
      <c r="M319" s="381"/>
      <c r="N319" s="383"/>
      <c r="O319" s="234">
        <f>SUM(Fluxo_de_Caixa_Janeiro310208[[#This Row],[Janeiro]:[Dezembro]])</f>
        <v>0</v>
      </c>
      <c r="P319" s="147">
        <f t="shared" si="16"/>
        <v>0</v>
      </c>
      <c r="Q319" s="105">
        <v>0</v>
      </c>
      <c r="R319" s="32"/>
      <c r="T319" s="528">
        <v>0</v>
      </c>
      <c r="U319" s="600">
        <v>0</v>
      </c>
    </row>
    <row r="320" spans="2:21" ht="15" customHeight="1" thickBot="1" x14ac:dyDescent="0.3">
      <c r="B320" s="391" t="str">
        <f>Fluxo_de_Caixa_Janeiro[[#This Row],[Fluxo de Caixa 2026 CTR]]</f>
        <v>5.3.06.AQUISICAO DE OUTROS VEICUL-IMOB</v>
      </c>
      <c r="C320" s="379">
        <f>Fluxo_de_Caixa_Janeiro[[#This Row],[Janeiro]]</f>
        <v>0</v>
      </c>
      <c r="D320" s="381">
        <f>Fluxo_de_Caixa_Janeiro3[[#This Row],[Fevereiro]]</f>
        <v>0</v>
      </c>
      <c r="E320" s="381">
        <f>Fluxo_de_Caixa_Janeiro34[[#This Row],[Março]]</f>
        <v>0</v>
      </c>
      <c r="F320" s="381">
        <f>Fluxo_de_Caixa_Janeiro345[[#This Row],[ABRIL]]</f>
        <v>0</v>
      </c>
      <c r="G320" s="381">
        <f>Fluxo_de_Caixa_Janeiro3459[[#This Row],[MAIO]]</f>
        <v>5000</v>
      </c>
      <c r="H320" s="381">
        <f>Fluxo_de_Caixa_Janeiro345911[[#This Row],[JUNHO]]</f>
        <v>0</v>
      </c>
      <c r="I320" s="379"/>
      <c r="J320" s="381"/>
      <c r="K320" s="381"/>
      <c r="L320" s="381"/>
      <c r="M320" s="381"/>
      <c r="N320" s="383"/>
      <c r="O320" s="234">
        <f>SUM(Fluxo_de_Caixa_Janeiro310208[[#This Row],[Janeiro]:[Dezembro]])</f>
        <v>5000</v>
      </c>
      <c r="P320" s="147">
        <f t="shared" si="16"/>
        <v>-9.1438767425897397E-4</v>
      </c>
      <c r="Q320" s="105">
        <v>-2.2602385363424901E-4</v>
      </c>
      <c r="R320" s="32"/>
      <c r="T320" s="528">
        <v>1415</v>
      </c>
      <c r="U320" s="600">
        <v>-2.2602385363424901E-4</v>
      </c>
    </row>
    <row r="321" spans="2:221" ht="15" hidden="1" customHeight="1" thickBot="1" x14ac:dyDescent="0.3">
      <c r="B321" s="391">
        <f>Fluxo_de_Caixa_Janeiro[[#This Row],[Fluxo de Caixa 2026 CTR]]</f>
        <v>0</v>
      </c>
      <c r="C321" s="379">
        <f>Fluxo_de_Caixa_Janeiro[[#This Row],[Janeiro]]</f>
        <v>0</v>
      </c>
      <c r="D321" s="381">
        <f>Fluxo_de_Caixa_Janeiro3[[#This Row],[Fevereiro]]</f>
        <v>0</v>
      </c>
      <c r="E321" s="381">
        <f>Fluxo_de_Caixa_Janeiro34[[#This Row],[Março]]</f>
        <v>0</v>
      </c>
      <c r="F321" s="381">
        <f>Fluxo_de_Caixa_Janeiro345[[#This Row],[ABRIL]]</f>
        <v>0</v>
      </c>
      <c r="G321" s="381">
        <f>Fluxo_de_Caixa_Janeiro3459[[#This Row],[MAIO]]</f>
        <v>0</v>
      </c>
      <c r="H321" s="381">
        <f>Fluxo_de_Caixa_Janeiro345911[[#This Row],[JUNHO]]</f>
        <v>0</v>
      </c>
      <c r="I321" s="379"/>
      <c r="J321" s="381"/>
      <c r="K321" s="381"/>
      <c r="L321" s="381"/>
      <c r="M321" s="381"/>
      <c r="N321" s="383"/>
      <c r="O321" s="234">
        <f>SUM(Fluxo_de_Caixa_Janeiro310208[[#This Row],[Janeiro]:[Dezembro]])</f>
        <v>0</v>
      </c>
      <c r="P321" s="147">
        <f t="shared" si="16"/>
        <v>0</v>
      </c>
      <c r="Q321" s="105">
        <v>0</v>
      </c>
      <c r="R321" s="32"/>
      <c r="T321" s="528">
        <v>0</v>
      </c>
      <c r="U321" s="600">
        <v>0</v>
      </c>
    </row>
    <row r="322" spans="2:221" ht="19.5" thickBot="1" x14ac:dyDescent="0.35">
      <c r="B322" s="168" t="str">
        <f>Fluxo_de_Caixa_Janeiro[[#This Row],[Fluxo de Caixa 2026 CTR]]</f>
        <v>5.4. DISTRIBUIÇÃO DE LUCROS E RESULTADOS</v>
      </c>
      <c r="C322" s="158">
        <f>Fluxo_de_Caixa_Janeiro[[#This Row],[Janeiro]]</f>
        <v>-1415.37</v>
      </c>
      <c r="D322" s="97">
        <f>Fluxo_de_Caixa_Janeiro3[[#This Row],[Fevereiro]]</f>
        <v>-8004.07</v>
      </c>
      <c r="E322" s="97">
        <f>Fluxo_de_Caixa_Janeiro34[[#This Row],[Março]]</f>
        <v>-2462.88</v>
      </c>
      <c r="F322" s="97">
        <f>Fluxo_de_Caixa_Janeiro345[[#This Row],[ABRIL]]</f>
        <v>-6578.51</v>
      </c>
      <c r="G322" s="97">
        <f>Fluxo_de_Caixa_Janeiro3459[[#This Row],[MAIO]]</f>
        <v>-8001.85</v>
      </c>
      <c r="H322" s="97">
        <f>Fluxo_de_Caixa_Janeiro345911[[#This Row],[JUNHO]]</f>
        <v>0</v>
      </c>
      <c r="I322" s="158"/>
      <c r="J322" s="97"/>
      <c r="K322" s="97"/>
      <c r="L322" s="97"/>
      <c r="M322" s="97"/>
      <c r="N322" s="129"/>
      <c r="O322" s="226">
        <f>SUM(Fluxo_de_Caixa_Janeiro310208[[#This Row],[Janeiro]:[Dezembro]])</f>
        <v>-26462.68</v>
      </c>
      <c r="P322" s="144">
        <f t="shared" si="16"/>
        <v>4.8394296839718931E-3</v>
      </c>
      <c r="Q322" s="98">
        <v>3.5902555369462753E-3</v>
      </c>
      <c r="R322" s="32"/>
      <c r="T322" s="518">
        <v>-22476.44</v>
      </c>
      <c r="U322" s="592">
        <v>3.5902555369462753E-3</v>
      </c>
    </row>
    <row r="323" spans="2:221" ht="15" customHeight="1" x14ac:dyDescent="0.25">
      <c r="B323" s="391" t="str">
        <f>Fluxo_de_Caixa_Janeiro[[#This Row],[Fluxo de Caixa 2026 CTR]]</f>
        <v>5.4.01.DISTRIBUICAO DE LUCROS SOCIOS</v>
      </c>
      <c r="C323" s="380">
        <f>Fluxo_de_Caixa_Janeiro[[#This Row],[Janeiro]]</f>
        <v>0</v>
      </c>
      <c r="D323" s="382">
        <f>Fluxo_de_Caixa_Janeiro3[[#This Row],[Fevereiro]]</f>
        <v>0</v>
      </c>
      <c r="E323" s="382">
        <f>Fluxo_de_Caixa_Janeiro34[[#This Row],[Março]]</f>
        <v>0</v>
      </c>
      <c r="F323" s="382">
        <f>Fluxo_de_Caixa_Janeiro345[[#This Row],[ABRIL]]</f>
        <v>0</v>
      </c>
      <c r="G323" s="382">
        <f>Fluxo_de_Caixa_Janeiro3459[[#This Row],[MAIO]]</f>
        <v>0</v>
      </c>
      <c r="H323" s="382">
        <f>Fluxo_de_Caixa_Janeiro345911[[#This Row],[JUNHO]]</f>
        <v>0</v>
      </c>
      <c r="I323" s="380"/>
      <c r="J323" s="382"/>
      <c r="K323" s="382"/>
      <c r="L323" s="382"/>
      <c r="M323" s="382"/>
      <c r="N323" s="384"/>
      <c r="O323" s="235">
        <f>SUM(Fluxo_de_Caixa_Janeiro310208[[#This Row],[Janeiro]:[Dezembro]])</f>
        <v>0</v>
      </c>
      <c r="P323" s="26">
        <f t="shared" si="16"/>
        <v>0</v>
      </c>
      <c r="Q323" s="76">
        <v>0</v>
      </c>
      <c r="R323" s="32"/>
      <c r="S323" s="287"/>
      <c r="T323" s="529">
        <v>0</v>
      </c>
      <c r="U323" s="601">
        <v>0</v>
      </c>
    </row>
    <row r="324" spans="2:221" ht="15" customHeight="1" x14ac:dyDescent="0.25">
      <c r="B324" s="270" t="str">
        <f>Fluxo_de_Caixa_Janeiro[[#This Row],[Fluxo de Caixa 2026 CTR]]</f>
        <v>5.4.02.COMBUST E LUBRIFICANT - DIRETORIA</v>
      </c>
      <c r="C324" s="45">
        <f>Fluxo_de_Caixa_Janeiro[[#This Row],[Janeiro]]</f>
        <v>0</v>
      </c>
      <c r="D324" s="80">
        <f>Fluxo_de_Caixa_Janeiro3[[#This Row],[Fevereiro]]</f>
        <v>0</v>
      </c>
      <c r="E324" s="80">
        <f>Fluxo_de_Caixa_Janeiro34[[#This Row],[Março]]</f>
        <v>0</v>
      </c>
      <c r="F324" s="80">
        <f>Fluxo_de_Caixa_Janeiro345[[#This Row],[ABRIL]]</f>
        <v>0</v>
      </c>
      <c r="G324" s="80">
        <f>Fluxo_de_Caixa_Janeiro3459[[#This Row],[MAIO]]</f>
        <v>0</v>
      </c>
      <c r="H324" s="80">
        <f>Fluxo_de_Caixa_Janeiro345911[[#This Row],[JUNHO]]</f>
        <v>0</v>
      </c>
      <c r="I324" s="45"/>
      <c r="J324" s="80"/>
      <c r="K324" s="80"/>
      <c r="L324" s="80"/>
      <c r="M324" s="80"/>
      <c r="N324" s="134"/>
      <c r="O324" s="235">
        <f>SUM(Fluxo_de_Caixa_Janeiro310208[[#This Row],[Janeiro]:[Dezembro]])</f>
        <v>0</v>
      </c>
      <c r="P324" s="26">
        <f t="shared" si="16"/>
        <v>0</v>
      </c>
      <c r="Q324" s="76">
        <v>0</v>
      </c>
      <c r="R324" s="32" t="str">
        <f>IF(Fluxo_de_Caixa_Janeiro310208[[#This Row],[% ACUMULADO  1º SEMEST 2026]]&lt;=Fluxo_de_Caixa_Janeiro310208[[#This Row],[% ACUMULADO  1º SEMEST 2025]],"VERDADEIRO","FALSO")</f>
        <v>VERDADEIRO</v>
      </c>
      <c r="T324" s="529">
        <v>0</v>
      </c>
      <c r="U324" s="601">
        <v>0</v>
      </c>
    </row>
    <row r="325" spans="2:221" ht="15" customHeight="1" x14ac:dyDescent="0.25">
      <c r="B325" s="270" t="str">
        <f>Fluxo_de_Caixa_Janeiro[[#This Row],[Fluxo de Caixa 2026 CTR]]</f>
        <v>5.4.03.VIAGENS E ESTADAS - DIRETORIA</v>
      </c>
      <c r="C325" s="45">
        <f>Fluxo_de_Caixa_Janeiro[[#This Row],[Janeiro]]</f>
        <v>0</v>
      </c>
      <c r="D325" s="80">
        <f>Fluxo_de_Caixa_Janeiro3[[#This Row],[Fevereiro]]</f>
        <v>0</v>
      </c>
      <c r="E325" s="80">
        <f>Fluxo_de_Caixa_Janeiro34[[#This Row],[Março]]</f>
        <v>2462.88</v>
      </c>
      <c r="F325" s="80">
        <f>Fluxo_de_Caixa_Janeiro345[[#This Row],[ABRIL]]</f>
        <v>2008.2</v>
      </c>
      <c r="G325" s="80">
        <f>Fluxo_de_Caixa_Janeiro3459[[#This Row],[MAIO]]</f>
        <v>8001.85</v>
      </c>
      <c r="H325" s="80">
        <f>Fluxo_de_Caixa_Janeiro345911[[#This Row],[JUNHO]]</f>
        <v>0</v>
      </c>
      <c r="I325" s="45"/>
      <c r="J325" s="80"/>
      <c r="K325" s="80"/>
      <c r="L325" s="80"/>
      <c r="M325" s="80"/>
      <c r="N325" s="134"/>
      <c r="O325" s="235">
        <f>SUM(Fluxo_de_Caixa_Janeiro310208[[#This Row],[Janeiro]:[Dezembro]])</f>
        <v>12472.93</v>
      </c>
      <c r="P325" s="26">
        <f t="shared" si="16"/>
        <v>-2.281018690778997E-3</v>
      </c>
      <c r="Q325" s="76">
        <v>-3.4853117831659471E-3</v>
      </c>
      <c r="R325" s="32" t="str">
        <f>IF(Fluxo_de_Caixa_Janeiro310208[[#This Row],[% ACUMULADO  1º SEMEST 2026]]&lt;=Fluxo_de_Caixa_Janeiro310208[[#This Row],[% ACUMULADO  1º SEMEST 2025]],"VERDADEIRO","FALSO")</f>
        <v>FALSO</v>
      </c>
      <c r="T325" s="529">
        <v>21819.45</v>
      </c>
      <c r="U325" s="601">
        <v>-3.4853117831659471E-3</v>
      </c>
    </row>
    <row r="326" spans="2:221" ht="15" customHeight="1" thickBot="1" x14ac:dyDescent="0.3">
      <c r="B326" s="270" t="str">
        <f>Fluxo_de_Caixa_Janeiro[[#This Row],[Fluxo de Caixa 2026 CTR]]</f>
        <v>5.4.04.DISTRIBUIÇÃO DE LUCROS E RESULTADOS</v>
      </c>
      <c r="C326" s="45">
        <f>Fluxo_de_Caixa_Janeiro[[#This Row],[Janeiro]]</f>
        <v>1415.37</v>
      </c>
      <c r="D326" s="80">
        <f>Fluxo_de_Caixa_Janeiro3[[#This Row],[Fevereiro]]</f>
        <v>8004.07</v>
      </c>
      <c r="E326" s="80">
        <f>Fluxo_de_Caixa_Janeiro34[[#This Row],[Março]]</f>
        <v>0</v>
      </c>
      <c r="F326" s="80">
        <f>Fluxo_de_Caixa_Janeiro345[[#This Row],[ABRIL]]</f>
        <v>4570.3100000000004</v>
      </c>
      <c r="G326" s="80">
        <f>Fluxo_de_Caixa_Janeiro3459[[#This Row],[MAIO]]</f>
        <v>0</v>
      </c>
      <c r="H326" s="80">
        <f>Fluxo_de_Caixa_Janeiro345911[[#This Row],[JUNHO]]</f>
        <v>0</v>
      </c>
      <c r="I326" s="45"/>
      <c r="J326" s="80"/>
      <c r="K326" s="80"/>
      <c r="L326" s="80"/>
      <c r="M326" s="80"/>
      <c r="N326" s="134"/>
      <c r="O326" s="235">
        <f>SUM(Fluxo_de_Caixa_Janeiro310208[[#This Row],[Janeiro]:[Dezembro]])</f>
        <v>13989.75</v>
      </c>
      <c r="P326" s="630">
        <f>IFERROR(O326/$C$332,"0,00%")</f>
        <v>1.8629777113438502E-2</v>
      </c>
      <c r="Q326" s="76">
        <v>8.1837512048950876E-4</v>
      </c>
      <c r="R326" s="32" t="str">
        <f>IF(Fluxo_de_Caixa_Janeiro310208[[#This Row],[% ACUMULADO  1º SEMEST 2026]]&lt;=Fluxo_de_Caixa_Janeiro310208[[#This Row],[% ACUMULADO  1º SEMEST 2025]],"VERDADEIRO","FALSO")</f>
        <v>FALSO</v>
      </c>
      <c r="T326" s="529">
        <v>656.99</v>
      </c>
      <c r="U326" s="601">
        <v>8.1837512048950876E-4</v>
      </c>
    </row>
    <row r="327" spans="2:221" ht="15" hidden="1" customHeight="1" x14ac:dyDescent="0.25">
      <c r="B327" s="270">
        <f>Fluxo_de_Caixa_Janeiro[[#This Row],[Fluxo de Caixa 2026 CTR]]</f>
        <v>0</v>
      </c>
      <c r="C327" s="45">
        <f>Fluxo_de_Caixa_Janeiro[[#This Row],[Janeiro]]</f>
        <v>0</v>
      </c>
      <c r="D327" s="80">
        <f>Fluxo_de_Caixa_Janeiro3[[#This Row],[Fevereiro]]</f>
        <v>0</v>
      </c>
      <c r="E327" s="80">
        <f>Fluxo_de_Caixa_Janeiro34[[#This Row],[Março]]</f>
        <v>0</v>
      </c>
      <c r="F327" s="80">
        <f>Fluxo_de_Caixa_Janeiro345[[#This Row],[ABRIL]]</f>
        <v>0</v>
      </c>
      <c r="G327" s="80">
        <f>Fluxo_de_Caixa_Janeiro3459[[#This Row],[MAIO]]</f>
        <v>0</v>
      </c>
      <c r="H327" s="80">
        <f>Fluxo_de_Caixa_Janeiro345911[[#This Row],[JUNHO]]</f>
        <v>0</v>
      </c>
      <c r="I327" s="45"/>
      <c r="J327" s="80"/>
      <c r="K327" s="80"/>
      <c r="L327" s="80"/>
      <c r="M327" s="80"/>
      <c r="N327" s="134"/>
      <c r="O327" s="235">
        <f>SUM(Fluxo_de_Caixa_Janeiro310208[[#This Row],[Janeiro]:[Dezembro]])</f>
        <v>0</v>
      </c>
      <c r="P327" s="630">
        <f>IFERROR(O327/$C$332,"0,00%")</f>
        <v>0</v>
      </c>
      <c r="Q327" s="76">
        <v>0</v>
      </c>
      <c r="R327" s="32" t="str">
        <f>IF(Fluxo_de_Caixa_Janeiro310208[[#This Row],[% ACUMULADO  1º SEMEST 2026]]&lt;=Fluxo_de_Caixa_Janeiro310208[[#This Row],[% ACUMULADO  1º SEMEST 2025]],"VERDADEIRO","FALSO")</f>
        <v>VERDADEIRO</v>
      </c>
      <c r="T327" s="529">
        <v>0</v>
      </c>
      <c r="U327" s="601">
        <v>0</v>
      </c>
    </row>
    <row r="328" spans="2:221" ht="15" hidden="1" customHeight="1" x14ac:dyDescent="0.25">
      <c r="B328" s="270">
        <f>Fluxo_de_Caixa_Janeiro[[#This Row],[Fluxo de Caixa 2026 CTR]]</f>
        <v>0</v>
      </c>
      <c r="C328" s="45">
        <f>Fluxo_de_Caixa_Janeiro[[#This Row],[Janeiro]]</f>
        <v>0</v>
      </c>
      <c r="D328" s="80">
        <f>Fluxo_de_Caixa_Janeiro3[[#This Row],[Fevereiro]]</f>
        <v>0</v>
      </c>
      <c r="E328" s="80">
        <f>Fluxo_de_Caixa_Janeiro34[[#This Row],[Março]]</f>
        <v>0</v>
      </c>
      <c r="F328" s="80">
        <f>Fluxo_de_Caixa_Janeiro345[[#This Row],[ABRIL]]</f>
        <v>0</v>
      </c>
      <c r="G328" s="80">
        <f>Fluxo_de_Caixa_Janeiro3459[[#This Row],[MAIO]]</f>
        <v>0</v>
      </c>
      <c r="H328" s="80">
        <f>Fluxo_de_Caixa_Janeiro345911[[#This Row],[JUNHO]]</f>
        <v>0</v>
      </c>
      <c r="I328" s="45"/>
      <c r="J328" s="80"/>
      <c r="K328" s="80"/>
      <c r="L328" s="80"/>
      <c r="M328" s="80"/>
      <c r="N328" s="134"/>
      <c r="O328" s="235">
        <f>SUM(Fluxo_de_Caixa_Janeiro310208[[#This Row],[Janeiro]:[Dezembro]])</f>
        <v>0</v>
      </c>
      <c r="P328" s="630">
        <f>IFERROR(O328/$C$332,"0,00%")</f>
        <v>0</v>
      </c>
      <c r="Q328" s="76">
        <v>0</v>
      </c>
      <c r="R328" s="32" t="str">
        <f>IF(Fluxo_de_Caixa_Janeiro310208[[#This Row],[% ACUMULADO  1º SEMEST 2026]]&lt;=Fluxo_de_Caixa_Janeiro310208[[#This Row],[% ACUMULADO  1º SEMEST 2025]],"VERDADEIRO","FALSO")</f>
        <v>VERDADEIRO</v>
      </c>
      <c r="T328" s="529">
        <v>0</v>
      </c>
      <c r="U328" s="601">
        <v>0</v>
      </c>
    </row>
    <row r="329" spans="2:221" ht="15" hidden="1" customHeight="1" thickBot="1" x14ac:dyDescent="0.3">
      <c r="B329" s="280">
        <f>Fluxo_de_Caixa_Janeiro[[#This Row],[Fluxo de Caixa 2026 CTR]]</f>
        <v>0</v>
      </c>
      <c r="C329" s="163">
        <f>Fluxo_de_Caixa_Janeiro[[#This Row],[Janeiro]]</f>
        <v>0</v>
      </c>
      <c r="D329" s="106">
        <f>Fluxo_de_Caixa_Janeiro3[[#This Row],[Fevereiro]]</f>
        <v>0</v>
      </c>
      <c r="E329" s="106">
        <f>Fluxo_de_Caixa_Janeiro34[[#This Row],[Março]]</f>
        <v>0</v>
      </c>
      <c r="F329" s="106">
        <f>Fluxo_de_Caixa_Janeiro345[[#This Row],[ABRIL]]</f>
        <v>0</v>
      </c>
      <c r="G329" s="106">
        <f>Fluxo_de_Caixa_Janeiro3459[[#This Row],[MAIO]]</f>
        <v>0</v>
      </c>
      <c r="H329" s="135">
        <f>Fluxo_de_Caixa_Janeiro345911[[#This Row],[JUNHO]]</f>
        <v>0</v>
      </c>
      <c r="I329" s="106"/>
      <c r="J329" s="106"/>
      <c r="K329" s="106"/>
      <c r="L329" s="106"/>
      <c r="M329" s="106"/>
      <c r="N329" s="135"/>
      <c r="O329" s="236">
        <f>SUM(Fluxo_de_Caixa_Janeiro310208[[#This Row],[Janeiro]:[Dezembro]])</f>
        <v>0</v>
      </c>
      <c r="P329" s="631">
        <f>IFERROR(O329/$C$332,"0,00%")</f>
        <v>0</v>
      </c>
      <c r="Q329" s="107">
        <v>0</v>
      </c>
      <c r="R329" s="32" t="str">
        <f>IF(Fluxo_de_Caixa_Janeiro310208[[#This Row],[% ACUMULADO  1º SEMEST 2026]]&lt;=Fluxo_de_Caixa_Janeiro310208[[#This Row],[% ACUMULADO  1º SEMEST 2025]],"VERDADEIRO","FALSO")</f>
        <v>VERDADEIRO</v>
      </c>
      <c r="T329" s="530">
        <v>0</v>
      </c>
      <c r="U329" s="602">
        <v>0</v>
      </c>
    </row>
    <row r="330" spans="2:221" s="4" customFormat="1" ht="24" thickBot="1" x14ac:dyDescent="0.4">
      <c r="B330" s="281" t="str">
        <f>Fluxo_de_Caixa_Janeiro[[#This Row],[Fluxo de Caixa 2026 CTR]]</f>
        <v>Total das Despesas Não Operacional</v>
      </c>
      <c r="C330" s="177">
        <f>Fluxo_de_Caixa_Janeiro[[#This Row],[Janeiro]]</f>
        <v>-32240.519999999997</v>
      </c>
      <c r="D330" s="184">
        <f>Fluxo_de_Caixa_Janeiro3[[#This Row],[Fevereiro]]</f>
        <v>-136677.07999999999</v>
      </c>
      <c r="E330" s="184">
        <f>Fluxo_de_Caixa_Janeiro34[[#This Row],[Março]]</f>
        <v>-648804.6100000001</v>
      </c>
      <c r="F330" s="184">
        <f>Fluxo_de_Caixa_Janeiro345[[#This Row],[ABRIL]]</f>
        <v>-260629.22</v>
      </c>
      <c r="G330" s="184">
        <f>Fluxo_de_Caixa_Janeiro3459[[#This Row],[MAIO]]</f>
        <v>-57579.99</v>
      </c>
      <c r="H330" s="291">
        <f>Fluxo_de_Caixa_Janeiro345911[[#This Row],[JUNHO]]</f>
        <v>0</v>
      </c>
      <c r="I330" s="299"/>
      <c r="J330" s="184"/>
      <c r="K330" s="184"/>
      <c r="L330" s="184"/>
      <c r="M330" s="184"/>
      <c r="N330" s="184"/>
      <c r="O330" s="227">
        <f>SUM(Fluxo_de_Caixa_Janeiro310208[[#This Row],[Janeiro]:[Dezembro]])</f>
        <v>-1135931.4200000002</v>
      </c>
      <c r="P330" s="632">
        <f>IFERROR(O330/(O27+O238),"0,00%")</f>
        <v>-0.20773633785029874</v>
      </c>
      <c r="Q330" s="109">
        <v>-6.9832063062770025E-2</v>
      </c>
      <c r="R330" s="32" t="str">
        <f>IF(Fluxo_de_Caixa_Janeiro310208[[#This Row],[% ACUMULADO  1º SEMEST 2026]]&gt;=Fluxo_de_Caixa_Janeiro310208[[#This Row],[% ACUMULADO  1º SEMEST 2025]],"VERDADEIRO","FALSO")</f>
        <v>FALSO</v>
      </c>
      <c r="S330" s="1"/>
      <c r="T330" s="521">
        <v>-437176.72999999992</v>
      </c>
      <c r="U330" s="603">
        <v>-6.9832063062770025E-2</v>
      </c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35">
      <c r="B331" s="173" t="str">
        <f>Fluxo_de_Caixa_Janeiro[[#This Row],[Fluxo de Caixa 2026 CTR]]</f>
        <v>Saldo Inicial Conta Movimento</v>
      </c>
      <c r="C331" s="178">
        <f>Fluxo_de_Caixa_Janeiro[[#This Row],[Janeiro]]</f>
        <v>67410.42</v>
      </c>
      <c r="D331" s="185">
        <f>Fluxo_de_Caixa_Janeiro3[[#This Row],[Fevereiro]]</f>
        <v>31847.63</v>
      </c>
      <c r="E331" s="185">
        <f>Fluxo_de_Caixa_Janeiro34[[#This Row],[Março]]</f>
        <v>8957.5900000000074</v>
      </c>
      <c r="F331" s="185">
        <f>Fluxo_de_Caixa_Janeiro345[[#This Row],[ABRIL]]</f>
        <v>437595.5799999999</v>
      </c>
      <c r="G331" s="185">
        <f>Fluxo_de_Caixa_Janeiro3459[[#This Row],[MAIO]]</f>
        <v>515135.91000000003</v>
      </c>
      <c r="H331" s="292">
        <f>Fluxo_de_Caixa_Janeiro345911[[#This Row],[JUNHO]]</f>
        <v>730895.57000000007</v>
      </c>
      <c r="I331" s="300"/>
      <c r="J331" s="185"/>
      <c r="K331" s="185"/>
      <c r="L331" s="185"/>
      <c r="M331" s="185"/>
      <c r="N331" s="185"/>
      <c r="O331" s="237">
        <f>Fluxo_de_Caixa_Janeiro310208[[#This Row],[Janeiro]]</f>
        <v>67410.42</v>
      </c>
      <c r="P331" s="633"/>
      <c r="Q331" s="108"/>
      <c r="R331" s="32"/>
      <c r="S331" s="1"/>
      <c r="T331" s="531">
        <v>192641.1</v>
      </c>
      <c r="U331" s="178"/>
      <c r="V331" s="1"/>
      <c r="W331" s="1"/>
      <c r="X331" s="1"/>
      <c r="Y331" s="1"/>
    </row>
    <row r="332" spans="2:221" ht="19.149999999999999" customHeight="1" thickBot="1" x14ac:dyDescent="0.35">
      <c r="B332" s="282" t="str">
        <f>Fluxo_de_Caixa_Janeiro[[#This Row],[Fluxo de Caixa 2026 CTR]]</f>
        <v>Total Receitas Operac. e Não Operac.</v>
      </c>
      <c r="C332" s="179">
        <f>Fluxo_de_Caixa_Janeiro[[#This Row],[Janeiro]]</f>
        <v>750934.90999999992</v>
      </c>
      <c r="D332" s="186">
        <f>Fluxo_de_Caixa_Janeiro3[[#This Row],[Fevereiro]]</f>
        <v>1038662.66</v>
      </c>
      <c r="E332" s="186">
        <f>Fluxo_de_Caixa_Janeiro34[[#This Row],[Março]]</f>
        <v>1918182.21</v>
      </c>
      <c r="F332" s="186">
        <f>Fluxo_de_Caixa_Janeiro345[[#This Row],[ABRIL]]</f>
        <v>1010347</v>
      </c>
      <c r="G332" s="186">
        <f>Fluxo_de_Caixa_Janeiro3459[[#This Row],[MAIO]]</f>
        <v>750013.42</v>
      </c>
      <c r="H332" s="293">
        <f>Fluxo_de_Caixa_Janeiro345911[[#This Row],[JUNHO]]</f>
        <v>0</v>
      </c>
      <c r="I332" s="301"/>
      <c r="J332" s="186"/>
      <c r="K332" s="186"/>
      <c r="L332" s="186"/>
      <c r="M332" s="186"/>
      <c r="N332" s="186"/>
      <c r="O332" s="238">
        <f>SUM(Fluxo_de_Caixa_Janeiro310208[[#This Row],[Janeiro]:[Dezembro]])</f>
        <v>5468140.1999999993</v>
      </c>
      <c r="P332" s="634">
        <f>SUM(P27,P238)</f>
        <v>1</v>
      </c>
      <c r="Q332" s="111">
        <v>1</v>
      </c>
      <c r="R332" s="32"/>
      <c r="S332" s="496"/>
      <c r="T332" s="532">
        <v>6260401.1800000006</v>
      </c>
      <c r="U332" s="604">
        <v>1</v>
      </c>
      <c r="V332" s="1"/>
      <c r="W332" s="1"/>
      <c r="X332" s="1"/>
      <c r="Y332" s="1"/>
    </row>
    <row r="333" spans="2:221" s="5" customFormat="1" ht="27" customHeight="1" thickBot="1" x14ac:dyDescent="0.35">
      <c r="B333" s="283" t="str">
        <f>Fluxo_de_Caixa_Janeiro[[#This Row],[Fluxo de Caixa 2026 CTR]]</f>
        <v>Total Despesas Operac. e Não Operac.</v>
      </c>
      <c r="C333" s="180">
        <f>Fluxo_de_Caixa_Janeiro[[#This Row],[Janeiro]]</f>
        <v>-786347.69</v>
      </c>
      <c r="D333" s="187">
        <f>Fluxo_de_Caixa_Janeiro3[[#This Row],[Fevereiro]]</f>
        <v>-1061732.7100000002</v>
      </c>
      <c r="E333" s="187">
        <f>Fluxo_de_Caixa_Janeiro34[[#This Row],[Março]]</f>
        <v>-1489764.8800000001</v>
      </c>
      <c r="F333" s="187">
        <f>Fluxo_de_Caixa_Janeiro345[[#This Row],[ABRIL]]</f>
        <v>-933056.99</v>
      </c>
      <c r="G333" s="187">
        <f>Fluxo_de_Caixa_Janeiro3459[[#This Row],[MAIO]]</f>
        <v>-531924.26</v>
      </c>
      <c r="H333" s="294">
        <f>Fluxo_de_Caixa_Janeiro345911[[#This Row],[JUNHO]]</f>
        <v>0</v>
      </c>
      <c r="I333" s="302"/>
      <c r="J333" s="187"/>
      <c r="K333" s="187"/>
      <c r="L333" s="187"/>
      <c r="M333" s="187"/>
      <c r="N333" s="187"/>
      <c r="O333" s="239">
        <f>SUM(Fluxo_de_Caixa_Janeiro310208[[#This Row],[Janeiro]:[Dezembro]])</f>
        <v>-4802826.53</v>
      </c>
      <c r="P333" s="635">
        <f>IFERROR(O333/O332,"0,00%")</f>
        <v>-0.87832907612719968</v>
      </c>
      <c r="Q333" s="110">
        <v>-0.98688219849833969</v>
      </c>
      <c r="R333" s="32" t="str">
        <f>IF(Fluxo_de_Caixa_Janeiro310208[[#This Row],[% ACUMULADO  1º SEMEST 2026]]&gt;=Fluxo_de_Caixa_Janeiro310208[[#This Row],[% ACUMULADO  1º SEMEST 2025]],"VERDADEIRO","FALSO")</f>
        <v>VERDADEIRO</v>
      </c>
      <c r="S333" s="8"/>
      <c r="T333" s="533">
        <v>-6178278.4800000004</v>
      </c>
      <c r="U333" s="605">
        <v>-0.98688219849833969</v>
      </c>
      <c r="V333" s="8"/>
      <c r="W333" s="8"/>
      <c r="X333" s="8"/>
      <c r="Y333" s="8"/>
    </row>
    <row r="334" spans="2:221" ht="21.75" thickBot="1" x14ac:dyDescent="0.3">
      <c r="B334" s="271" t="str">
        <f>Fluxo_de_Caixa_Janeiro[[#This Row],[Fluxo de Caixa 2026 CTR]]</f>
        <v xml:space="preserve">Saldo Liquido Final  </v>
      </c>
      <c r="C334" s="181">
        <f>Fluxo_de_Caixa_Janeiro[[#This Row],[Janeiro]]</f>
        <v>-35412.780000000028</v>
      </c>
      <c r="D334" s="188">
        <f>Fluxo_de_Caixa_Janeiro3[[#This Row],[Fevereiro]]</f>
        <v>-23070.050000000163</v>
      </c>
      <c r="E334" s="188">
        <f>Fluxo_de_Caixa_Janeiro34[[#This Row],[Março]]</f>
        <v>428417.32999999984</v>
      </c>
      <c r="F334" s="188">
        <f>Fluxo_de_Caixa_Janeiro345[[#This Row],[ABRIL]]</f>
        <v>77290.010000000009</v>
      </c>
      <c r="G334" s="188">
        <f>Fluxo_de_Caixa_Janeiro3459[[#This Row],[MAIO]]</f>
        <v>218089.16000000003</v>
      </c>
      <c r="H334" s="295">
        <f>Fluxo_de_Caixa_Janeiro345911[[#This Row],[JUNHO]]</f>
        <v>0</v>
      </c>
      <c r="I334" s="303"/>
      <c r="J334" s="188"/>
      <c r="K334" s="188"/>
      <c r="L334" s="188"/>
      <c r="M334" s="188"/>
      <c r="N334" s="188"/>
      <c r="O334" s="240">
        <f>SUM(Fluxo_de_Caixa_Janeiro310208[[#This Row],[Janeiro]:[Dezembro]])</f>
        <v>665313.66999999969</v>
      </c>
      <c r="P334" s="636">
        <f>IFERROR(O334/O332,"0,00%")</f>
        <v>0.12167092387280044</v>
      </c>
      <c r="Q334" s="77">
        <v>1.3117801501660305E-2</v>
      </c>
      <c r="R334" s="32" t="str">
        <f>IF(Fluxo_de_Caixa_Janeiro310208[[#This Row],[% ACUMULADO  1º SEMEST 2026]]&gt;=Fluxo_de_Caixa_Janeiro310208[[#This Row],[% ACUMULADO  1º SEMEST 2025]],"VERDADEIRO","FALSO")</f>
        <v>VERDADEIRO</v>
      </c>
      <c r="S334" s="1"/>
      <c r="T334" s="534">
        <v>82122.699999999953</v>
      </c>
      <c r="U334" s="606">
        <v>1.3117801501660305E-2</v>
      </c>
      <c r="V334" s="1"/>
      <c r="W334" s="1"/>
      <c r="X334" s="1"/>
      <c r="Y334" s="1"/>
    </row>
    <row r="335" spans="2:221" ht="27" thickBot="1" x14ac:dyDescent="0.45">
      <c r="B335" s="174" t="str">
        <f>Fluxo_de_Caixa_Janeiro[[#This Row],[Fluxo de Caixa 2026 CTR]]</f>
        <v xml:space="preserve">Saldo Liquido Ajustado  </v>
      </c>
      <c r="C335" s="182">
        <f>Fluxo_de_Caixa_Janeiro[[#This Row],[Janeiro]]</f>
        <v>31997.640000000014</v>
      </c>
      <c r="D335" s="189">
        <f>Fluxo_de_Caixa_Janeiro3[[#This Row],[Fevereiro]]</f>
        <v>8777.5799999998417</v>
      </c>
      <c r="E335" s="189">
        <f>Fluxo_de_Caixa_Janeiro34[[#This Row],[Março]]</f>
        <v>437374.91999999993</v>
      </c>
      <c r="F335" s="189">
        <f>Fluxo_de_Caixa_Janeiro345[[#This Row],[ABRIL]]</f>
        <v>514885.58999999985</v>
      </c>
      <c r="G335" s="189">
        <f>Fluxo_de_Caixa_Janeiro3459[[#This Row],[MAIO]]</f>
        <v>733225.07000000007</v>
      </c>
      <c r="H335" s="296">
        <f>Fluxo_de_Caixa_Janeiro345911[[#This Row],[JUNHO]]</f>
        <v>730895.57000000007</v>
      </c>
      <c r="I335" s="304"/>
      <c r="J335" s="189"/>
      <c r="K335" s="189"/>
      <c r="L335" s="189"/>
      <c r="M335" s="189"/>
      <c r="N335" s="189"/>
      <c r="O335" s="241">
        <f>SUM(O332,O331,O333)</f>
        <v>732724.08999999892</v>
      </c>
      <c r="P335" s="651">
        <f>IFERROR(O335/(O332+O331),"0,00%")</f>
        <v>0.13236697490447644</v>
      </c>
      <c r="Q335" s="112">
        <v>4.2578955487643233E-2</v>
      </c>
      <c r="R335" s="32" t="str">
        <f>IF(Fluxo_de_Caixa_Janeiro310208[[#This Row],[% ACUMULADO  1º SEMEST 2026]]&gt;=Fluxo_de_Caixa_Janeiro310208[[#This Row],[% ACUMULADO  1º SEMEST 2025]],"VERDADEIRO","FALSO")</f>
        <v>VERDADEIRO</v>
      </c>
      <c r="T335" s="535">
        <v>274763.79999999981</v>
      </c>
      <c r="U335" s="607">
        <v>4.2578955487643233E-2</v>
      </c>
    </row>
    <row r="336" spans="2:221" ht="24" thickBot="1" x14ac:dyDescent="0.4">
      <c r="B336" s="175" t="str">
        <f>Fluxo_de_Caixa_Janeiro[[#This Row],[Fluxo de Caixa 2026 CTR]]</f>
        <v>Disponíveis nas Contas Movimento</v>
      </c>
      <c r="C336" s="183">
        <f>Fluxo_de_Caixa_Janeiro[[#This Row],[Janeiro]]</f>
        <v>31847.63</v>
      </c>
      <c r="D336" s="190">
        <f>Fluxo_de_Caixa_Janeiro3[[#This Row],[Fevereiro]]</f>
        <v>8957.5900000000074</v>
      </c>
      <c r="E336" s="190">
        <f>Fluxo_de_Caixa_Janeiro34[[#This Row],[Março]]</f>
        <v>437595.5799999999</v>
      </c>
      <c r="F336" s="190">
        <f>Fluxo_de_Caixa_Janeiro345[[#This Row],[ABRIL]]</f>
        <v>515135.91000000003</v>
      </c>
      <c r="G336" s="190">
        <f>Fluxo_de_Caixa_Janeiro3459[[#This Row],[MAIO]]</f>
        <v>733125.37</v>
      </c>
      <c r="H336" s="297">
        <f>Fluxo_de_Caixa_Janeiro345911[[#This Row],[JUNHO]]</f>
        <v>0</v>
      </c>
      <c r="I336" s="305"/>
      <c r="J336" s="190"/>
      <c r="K336" s="190"/>
      <c r="L336" s="190"/>
      <c r="M336" s="190"/>
      <c r="N336" s="190"/>
      <c r="O336" s="242">
        <f>SUM(O337:O360)</f>
        <v>0</v>
      </c>
      <c r="P336" s="254">
        <f>SUM(P337:P360)</f>
        <v>0</v>
      </c>
      <c r="Q336" s="114"/>
      <c r="R336" s="34"/>
      <c r="T336" s="536">
        <v>274763.80000000005</v>
      </c>
      <c r="U336" s="608">
        <v>0.99999999999999967</v>
      </c>
    </row>
    <row r="337" spans="2:21" x14ac:dyDescent="0.25">
      <c r="B337" s="47" t="str">
        <f>Fluxo_de_Caixa_Janeiro[[#This Row],[Fluxo de Caixa 2026 CTR]]</f>
        <v>1.0 - TESOURARIA MATRIZ PALMAS</v>
      </c>
      <c r="C337" s="41">
        <f>Fluxo_de_Caixa_Janeiro[[#This Row],[Janeiro]]</f>
        <v>40.53</v>
      </c>
      <c r="D337" s="81">
        <f>Fluxo_de_Caixa_Janeiro3[[#This Row],[Fevereiro]]</f>
        <v>337.58</v>
      </c>
      <c r="E337" s="81">
        <f>Fluxo_de_Caixa_Janeiro34[[#This Row],[Março]]</f>
        <v>850.58</v>
      </c>
      <c r="F337" s="81">
        <f>Fluxo_de_Caixa_Janeiro345[[#This Row],[ABRIL]]</f>
        <v>421.79</v>
      </c>
      <c r="G337" s="81">
        <f>Fluxo_de_Caixa_Janeiro3459[[#This Row],[MAIO]]</f>
        <v>595.79</v>
      </c>
      <c r="H337" s="118">
        <f>Fluxo_de_Caixa_Janeiro345911[[#This Row],[JUNHO]]</f>
        <v>0</v>
      </c>
      <c r="I337" s="81"/>
      <c r="J337" s="81"/>
      <c r="K337" s="81"/>
      <c r="L337" s="81"/>
      <c r="M337" s="81"/>
      <c r="N337" s="118"/>
      <c r="O337" s="243">
        <f>Fluxo_de_Caixa_Janeiro310208[[#This Row],[Junho]]</f>
        <v>0</v>
      </c>
      <c r="P337" s="28" t="str">
        <f t="shared" ref="P337:P361" si="17">IFERROR(O337/$O$336,"0,00%")</f>
        <v>0,00%</v>
      </c>
      <c r="Q337" s="113"/>
      <c r="R337" s="34"/>
      <c r="T337" s="537">
        <v>20.16</v>
      </c>
      <c r="U337" s="573">
        <v>7.3372110882146768E-5</v>
      </c>
    </row>
    <row r="338" spans="2:21" x14ac:dyDescent="0.25">
      <c r="B338" s="47" t="str">
        <f>Fluxo_de_Caixa_Janeiro[[#This Row],[Fluxo de Caixa 2026 CTR]]</f>
        <v>1.1 - BANCO DO BRASIL C.C.60409-7 MATRIZ</v>
      </c>
      <c r="C338" s="35">
        <f>Fluxo_de_Caixa_Janeiro[[#This Row],[Janeiro]]</f>
        <v>108.85</v>
      </c>
      <c r="D338" s="62">
        <f>Fluxo_de_Caixa_Janeiro3[[#This Row],[Fevereiro]]</f>
        <v>55.77</v>
      </c>
      <c r="E338" s="62">
        <f>Fluxo_de_Caixa_Janeiro34[[#This Row],[Março]]</f>
        <v>36651.07</v>
      </c>
      <c r="F338" s="62">
        <f>Fluxo_de_Caixa_Janeiro345[[#This Row],[ABRIL]]</f>
        <v>52517.95</v>
      </c>
      <c r="G338" s="62">
        <f>Fluxo_de_Caixa_Janeiro3459[[#This Row],[MAIO]]</f>
        <v>137058.82</v>
      </c>
      <c r="H338" s="119">
        <f>Fluxo_de_Caixa_Janeiro345911[[#This Row],[JUNHO]]</f>
        <v>0</v>
      </c>
      <c r="I338" s="62"/>
      <c r="J338" s="62"/>
      <c r="K338" s="62"/>
      <c r="L338" s="62"/>
      <c r="M338" s="62"/>
      <c r="N338" s="119"/>
      <c r="O338" s="243">
        <f>Fluxo_de_Caixa_Janeiro310208[[#This Row],[Junho]]</f>
        <v>0</v>
      </c>
      <c r="P338" s="138" t="str">
        <f t="shared" si="17"/>
        <v>0,00%</v>
      </c>
      <c r="Q338" s="78"/>
      <c r="R338" s="34"/>
      <c r="T338" s="537">
        <v>196561.97</v>
      </c>
      <c r="U338" s="574">
        <v>0.71538525089549632</v>
      </c>
    </row>
    <row r="339" spans="2:21" hidden="1" x14ac:dyDescent="0.25">
      <c r="B339" s="47">
        <f>Fluxo_de_Caixa_Janeiro[[#This Row],[Fluxo de Caixa 2026 CTR]]</f>
        <v>0</v>
      </c>
      <c r="C339" s="35">
        <f>Fluxo_de_Caixa_Janeiro[[#This Row],[Janeiro]]</f>
        <v>0</v>
      </c>
      <c r="D339" s="62">
        <f>Fluxo_de_Caixa_Janeiro3[[#This Row],[Fevereiro]]</f>
        <v>0</v>
      </c>
      <c r="E339" s="62">
        <f>Fluxo_de_Caixa_Janeiro34[[#This Row],[Março]]</f>
        <v>0</v>
      </c>
      <c r="F339" s="62">
        <f>Fluxo_de_Caixa_Janeiro345[[#This Row],[ABRIL]]</f>
        <v>0</v>
      </c>
      <c r="G339" s="62">
        <f>Fluxo_de_Caixa_Janeiro3459[[#This Row],[MAIO]]</f>
        <v>0</v>
      </c>
      <c r="H339" s="119">
        <f>Fluxo_de_Caixa_Janeiro345911[[#This Row],[JUNHO]]</f>
        <v>0</v>
      </c>
      <c r="I339" s="62"/>
      <c r="J339" s="62"/>
      <c r="K339" s="62"/>
      <c r="L339" s="62"/>
      <c r="M339" s="62"/>
      <c r="N339" s="119"/>
      <c r="O339" s="243">
        <f>Fluxo_de_Caixa_Janeiro310208[[#This Row],[Junho]]</f>
        <v>0</v>
      </c>
      <c r="P339" s="138" t="str">
        <f t="shared" si="17"/>
        <v>0,00%</v>
      </c>
      <c r="Q339" s="78"/>
      <c r="R339" s="34"/>
      <c r="T339" s="537">
        <v>0</v>
      </c>
      <c r="U339" s="574">
        <v>0</v>
      </c>
    </row>
    <row r="340" spans="2:21" x14ac:dyDescent="0.25">
      <c r="B340" s="47" t="str">
        <f>Fluxo_de_Caixa_Janeiro[[#This Row],[Fluxo de Caixa 2026 CTR]]</f>
        <v>1.2-BRADESCO 15232-3 MATRIZ</v>
      </c>
      <c r="C340" s="35">
        <f>Fluxo_de_Caixa_Janeiro[[#This Row],[Janeiro]]</f>
        <v>3332.91</v>
      </c>
      <c r="D340" s="62">
        <f>Fluxo_de_Caixa_Janeiro3[[#This Row],[Fevereiro]]</f>
        <v>25.97</v>
      </c>
      <c r="E340" s="62">
        <f>Fluxo_de_Caixa_Janeiro34[[#This Row],[Março]]</f>
        <v>6785.01</v>
      </c>
      <c r="F340" s="62">
        <f>Fluxo_de_Caixa_Janeiro345[[#This Row],[ABRIL]]</f>
        <v>733.84</v>
      </c>
      <c r="G340" s="62">
        <f>Fluxo_de_Caixa_Janeiro3459[[#This Row],[MAIO]]</f>
        <v>28967.96</v>
      </c>
      <c r="H340" s="119">
        <f>Fluxo_de_Caixa_Janeiro345911[[#This Row],[JUNHO]]</f>
        <v>0</v>
      </c>
      <c r="I340" s="62"/>
      <c r="J340" s="62"/>
      <c r="K340" s="62"/>
      <c r="L340" s="62"/>
      <c r="M340" s="62"/>
      <c r="N340" s="119"/>
      <c r="O340" s="243">
        <f>Fluxo_de_Caixa_Janeiro310208[[#This Row],[Junho]]</f>
        <v>0</v>
      </c>
      <c r="P340" s="138" t="str">
        <f t="shared" si="17"/>
        <v>0,00%</v>
      </c>
      <c r="Q340" s="78"/>
      <c r="R340" s="34"/>
      <c r="T340" s="537">
        <v>945.29</v>
      </c>
      <c r="U340" s="574">
        <v>3.4403731495924856E-3</v>
      </c>
    </row>
    <row r="341" spans="2:21" hidden="1" x14ac:dyDescent="0.25">
      <c r="B341" s="47">
        <f>Fluxo_de_Caixa_Janeiro[[#This Row],[Fluxo de Caixa 2026 CTR]]</f>
        <v>0</v>
      </c>
      <c r="C341" s="35">
        <f>Fluxo_de_Caixa_Janeiro[[#This Row],[Janeiro]]</f>
        <v>0</v>
      </c>
      <c r="D341" s="62">
        <f>Fluxo_de_Caixa_Janeiro3[[#This Row],[Fevereiro]]</f>
        <v>0</v>
      </c>
      <c r="E341" s="62">
        <f>Fluxo_de_Caixa_Janeiro34[[#This Row],[Março]]</f>
        <v>0</v>
      </c>
      <c r="F341" s="62">
        <f>Fluxo_de_Caixa_Janeiro345[[#This Row],[ABRIL]]</f>
        <v>0</v>
      </c>
      <c r="G341" s="62">
        <f>Fluxo_de_Caixa_Janeiro3459[[#This Row],[MAIO]]</f>
        <v>0</v>
      </c>
      <c r="H341" s="119">
        <f>Fluxo_de_Caixa_Janeiro345911[[#This Row],[JUNHO]]</f>
        <v>0</v>
      </c>
      <c r="I341" s="62"/>
      <c r="J341" s="62"/>
      <c r="K341" s="62"/>
      <c r="L341" s="62"/>
      <c r="M341" s="62"/>
      <c r="N341" s="119"/>
      <c r="O341" s="243">
        <f>Fluxo_de_Caixa_Janeiro310208[[#This Row],[Junho]]</f>
        <v>0</v>
      </c>
      <c r="P341" s="138" t="str">
        <f t="shared" si="17"/>
        <v>0,00%</v>
      </c>
      <c r="Q341" s="78"/>
      <c r="R341" s="34"/>
      <c r="T341" s="537">
        <v>0</v>
      </c>
      <c r="U341" s="574">
        <v>0</v>
      </c>
    </row>
    <row r="342" spans="2:21" x14ac:dyDescent="0.25">
      <c r="B342" s="47" t="str">
        <f>Fluxo_de_Caixa_Janeiro[[#This Row],[Fluxo de Caixa 2026 CTR]]</f>
        <v>1.3 - BANCO STONE MATRIZ C.C 40256726-7</v>
      </c>
      <c r="C342" s="35">
        <f>Fluxo_de_Caixa_Janeiro[[#This Row],[Janeiro]]</f>
        <v>2671</v>
      </c>
      <c r="D342" s="62">
        <f>Fluxo_de_Caixa_Janeiro3[[#This Row],[Fevereiro]]</f>
        <v>0</v>
      </c>
      <c r="E342" s="62">
        <f>Fluxo_de_Caixa_Janeiro34[[#This Row],[Março]]</f>
        <v>0</v>
      </c>
      <c r="F342" s="62">
        <f>Fluxo_de_Caixa_Janeiro345[[#This Row],[ABRIL]]</f>
        <v>0</v>
      </c>
      <c r="G342" s="62">
        <f>Fluxo_de_Caixa_Janeiro3459[[#This Row],[MAIO]]</f>
        <v>0</v>
      </c>
      <c r="H342" s="119">
        <f>Fluxo_de_Caixa_Janeiro345911[[#This Row],[JUNHO]]</f>
        <v>0</v>
      </c>
      <c r="I342" s="62"/>
      <c r="J342" s="62"/>
      <c r="K342" s="62"/>
      <c r="L342" s="62"/>
      <c r="M342" s="62"/>
      <c r="N342" s="119"/>
      <c r="O342" s="243">
        <f>Fluxo_de_Caixa_Janeiro310208[[#This Row],[Junho]]</f>
        <v>0</v>
      </c>
      <c r="P342" s="138" t="str">
        <f t="shared" si="17"/>
        <v>0,00%</v>
      </c>
      <c r="Q342" s="78"/>
      <c r="R342" s="34"/>
      <c r="T342" s="537">
        <v>2313.3200000000002</v>
      </c>
      <c r="U342" s="574">
        <v>8.4193041441412587E-3</v>
      </c>
    </row>
    <row r="343" spans="2:21" x14ac:dyDescent="0.25">
      <c r="B343" s="47" t="str">
        <f>Fluxo_de_Caixa_Janeiro[[#This Row],[Fluxo de Caixa 2026 CTR]]</f>
        <v>1.4 - BANCO DA AMAZONIA 071730-7 MATRIZ</v>
      </c>
      <c r="C343" s="35">
        <f>Fluxo_de_Caixa_Janeiro[[#This Row],[Janeiro]]</f>
        <v>281.77999999999997</v>
      </c>
      <c r="D343" s="62">
        <f>Fluxo_de_Caixa_Janeiro3[[#This Row],[Fevereiro]]</f>
        <v>1900.51</v>
      </c>
      <c r="E343" s="62">
        <f>Fluxo_de_Caixa_Janeiro34[[#This Row],[Março]]</f>
        <v>304243.92</v>
      </c>
      <c r="F343" s="62">
        <f>Fluxo_de_Caixa_Janeiro345[[#This Row],[ABRIL]]</f>
        <v>5306.88</v>
      </c>
      <c r="G343" s="62">
        <f>Fluxo_de_Caixa_Janeiro3459[[#This Row],[MAIO]]</f>
        <v>2192.0700000000002</v>
      </c>
      <c r="H343" s="62">
        <f>Fluxo_de_Caixa_Janeiro345911[[#This Row],[JUNHO]]</f>
        <v>0</v>
      </c>
      <c r="I343" s="35"/>
      <c r="J343" s="62"/>
      <c r="K343" s="62"/>
      <c r="L343" s="62"/>
      <c r="M343" s="62"/>
      <c r="N343" s="119"/>
      <c r="O343" s="243">
        <f>Fluxo_de_Caixa_Janeiro310208[[#This Row],[Junho]]</f>
        <v>0</v>
      </c>
      <c r="P343" s="138" t="str">
        <f t="shared" si="17"/>
        <v>0,00%</v>
      </c>
      <c r="Q343" s="78"/>
      <c r="R343" s="34"/>
      <c r="T343" s="537">
        <v>0</v>
      </c>
      <c r="U343" s="574">
        <v>0</v>
      </c>
    </row>
    <row r="344" spans="2:21" x14ac:dyDescent="0.25">
      <c r="B344" s="47" t="str">
        <f>Fluxo_de_Caixa_Janeiro[[#This Row],[Fluxo de Caixa 2026 CTR]]</f>
        <v>1.4.1.INVESTIMENTO CDBORE RCP TXFL</v>
      </c>
      <c r="C344" s="35">
        <f>Fluxo_de_Caixa_Janeiro[[#This Row],[Janeiro]]</f>
        <v>0</v>
      </c>
      <c r="D344" s="62">
        <f>Fluxo_de_Caixa_Janeiro3[[#This Row],[Fevereiro]]</f>
        <v>0</v>
      </c>
      <c r="E344" s="62">
        <f>Fluxo_de_Caixa_Janeiro34[[#This Row],[Março]]</f>
        <v>0</v>
      </c>
      <c r="F344" s="62">
        <f>Fluxo_de_Caixa_Janeiro345[[#This Row],[ABRIL]]</f>
        <v>74541.539999999994</v>
      </c>
      <c r="G344" s="62">
        <f>Fluxo_de_Caixa_Janeiro3459[[#This Row],[MAIO]]</f>
        <v>75309.53</v>
      </c>
      <c r="H344" s="62">
        <f>Fluxo_de_Caixa_Janeiro345911[[#This Row],[JUNHO]]</f>
        <v>0</v>
      </c>
      <c r="I344" s="35"/>
      <c r="J344" s="62"/>
      <c r="K344" s="62"/>
      <c r="L344" s="62"/>
      <c r="M344" s="62"/>
      <c r="N344" s="119"/>
      <c r="O344" s="243">
        <f>Fluxo_de_Caixa_Janeiro310208[[#This Row],[Junho]]</f>
        <v>0</v>
      </c>
      <c r="P344" s="138" t="str">
        <f t="shared" si="17"/>
        <v>0,00%</v>
      </c>
      <c r="Q344" s="78"/>
      <c r="R344" s="34"/>
      <c r="T344" s="537">
        <v>516.25</v>
      </c>
      <c r="U344" s="574">
        <v>1.878886519985529E-3</v>
      </c>
    </row>
    <row r="345" spans="2:21" x14ac:dyDescent="0.25">
      <c r="B345" s="47" t="str">
        <f>Fluxo_de_Caixa_Janeiro[[#This Row],[Fluxo de Caixa 2026 CTR]]</f>
        <v>1.5 -  ITAU C.C.98671-6 MATRIZ</v>
      </c>
      <c r="C345" s="35">
        <f>Fluxo_de_Caixa_Janeiro[[#This Row],[Janeiro]]</f>
        <v>18153.73</v>
      </c>
      <c r="D345" s="62">
        <f>Fluxo_de_Caixa_Janeiro3[[#This Row],[Fevereiro]]</f>
        <v>33831.300000000003</v>
      </c>
      <c r="E345" s="62">
        <f>Fluxo_de_Caixa_Janeiro34[[#This Row],[Março]]</f>
        <v>95802.27</v>
      </c>
      <c r="F345" s="62">
        <f>Fluxo_de_Caixa_Janeiro345[[#This Row],[ABRIL]]</f>
        <v>367595.19</v>
      </c>
      <c r="G345" s="62">
        <f>Fluxo_de_Caixa_Janeiro3459[[#This Row],[MAIO]]</f>
        <v>456792.42</v>
      </c>
      <c r="H345" s="62">
        <f>Fluxo_de_Caixa_Janeiro345911[[#This Row],[JUNHO]]</f>
        <v>0</v>
      </c>
      <c r="I345" s="35"/>
      <c r="J345" s="62"/>
      <c r="K345" s="62"/>
      <c r="L345" s="62"/>
      <c r="M345" s="62"/>
      <c r="N345" s="119"/>
      <c r="O345" s="243">
        <f>Fluxo_de_Caixa_Janeiro310208[[#This Row],[Junho]]</f>
        <v>0</v>
      </c>
      <c r="P345" s="138" t="str">
        <f t="shared" si="17"/>
        <v>0,00%</v>
      </c>
      <c r="Q345" s="78"/>
      <c r="R345" s="34"/>
      <c r="T345" s="537">
        <v>47892.59</v>
      </c>
      <c r="U345" s="574">
        <v>0.17430458451950362</v>
      </c>
    </row>
    <row r="346" spans="2:21" x14ac:dyDescent="0.25">
      <c r="B346" s="47" t="str">
        <f>Fluxo_de_Caixa_Janeiro[[#This Row],[Fluxo de Caixa 2026 CTR]]</f>
        <v>1.5.03. ITAU C.C 83290-2 GARANTIDA</v>
      </c>
      <c r="C346" s="35">
        <f>Fluxo_de_Caixa_Janeiro[[#This Row],[Janeiro]]</f>
        <v>1286.28</v>
      </c>
      <c r="D346" s="62">
        <f>Fluxo_de_Caixa_Janeiro3[[#This Row],[Fevereiro]]</f>
        <v>5399.76</v>
      </c>
      <c r="E346" s="62">
        <f>Fluxo_de_Caixa_Janeiro34[[#This Row],[Março]]</f>
        <v>0</v>
      </c>
      <c r="F346" s="62">
        <f>Fluxo_de_Caixa_Janeiro345[[#This Row],[ABRIL]]</f>
        <v>0</v>
      </c>
      <c r="G346" s="62">
        <f>Fluxo_de_Caixa_Janeiro3459[[#This Row],[MAIO]]</f>
        <v>0</v>
      </c>
      <c r="H346" s="62">
        <f>Fluxo_de_Caixa_Janeiro345911[[#This Row],[JUNHO]]</f>
        <v>0</v>
      </c>
      <c r="I346" s="35"/>
      <c r="J346" s="62"/>
      <c r="K346" s="62"/>
      <c r="L346" s="62"/>
      <c r="M346" s="62"/>
      <c r="N346" s="119"/>
      <c r="O346" s="243">
        <f>Fluxo_de_Caixa_Janeiro310208[[#This Row],[Junho]]</f>
        <v>0</v>
      </c>
      <c r="P346" s="138" t="str">
        <f t="shared" si="17"/>
        <v>0,00%</v>
      </c>
      <c r="Q346" s="78"/>
      <c r="R346" s="34"/>
      <c r="T346" s="537">
        <v>3032.35</v>
      </c>
      <c r="U346" s="574">
        <v>1.1036206370708221E-2</v>
      </c>
    </row>
    <row r="347" spans="2:21" x14ac:dyDescent="0.25">
      <c r="B347" s="47" t="str">
        <f>Fluxo_de_Caixa_Janeiro[[#This Row],[Fluxo de Caixa 2026 CTR]]</f>
        <v>1.9 - CONTA PERDA/ROUBO/BONIFICAÇÃO E DOAÇÃO</v>
      </c>
      <c r="C347" s="35">
        <f>Fluxo_de_Caixa_Janeiro[[#This Row],[Janeiro]]</f>
        <v>0</v>
      </c>
      <c r="D347" s="62">
        <f>Fluxo_de_Caixa_Janeiro3[[#This Row],[Fevereiro]]</f>
        <v>-20953.13</v>
      </c>
      <c r="E347" s="62">
        <f>Fluxo_de_Caixa_Janeiro34[[#This Row],[Março]]</f>
        <v>-20953.13</v>
      </c>
      <c r="F347" s="62">
        <f>Fluxo_de_Caixa_Janeiro345[[#This Row],[ABRIL]]</f>
        <v>-20953.13</v>
      </c>
      <c r="G347" s="62">
        <f>Fluxo_de_Caixa_Janeiro3459[[#This Row],[MAIO]]</f>
        <v>-25255.51</v>
      </c>
      <c r="H347" s="62">
        <f>Fluxo_de_Caixa_Janeiro345911[[#This Row],[JUNHO]]</f>
        <v>0</v>
      </c>
      <c r="I347" s="35"/>
      <c r="J347" s="62"/>
      <c r="K347" s="62"/>
      <c r="L347" s="62"/>
      <c r="M347" s="62"/>
      <c r="N347" s="119"/>
      <c r="O347" s="243">
        <f>Fluxo_de_Caixa_Janeiro310208[[#This Row],[Junho]]</f>
        <v>0</v>
      </c>
      <c r="P347" s="138" t="str">
        <f t="shared" si="17"/>
        <v>0,00%</v>
      </c>
      <c r="Q347" s="78"/>
      <c r="T347" s="537">
        <v>-5726.74</v>
      </c>
      <c r="U347" s="574">
        <v>-2.0842410827044897E-2</v>
      </c>
    </row>
    <row r="348" spans="2:21" hidden="1" x14ac:dyDescent="0.25">
      <c r="B348" s="47">
        <f>Fluxo_de_Caixa_Janeiro[[#This Row],[Fluxo de Caixa 2026 CTR]]</f>
        <v>0</v>
      </c>
      <c r="C348" s="35">
        <f>Fluxo_de_Caixa_Janeiro[[#This Row],[Janeiro]]</f>
        <v>0</v>
      </c>
      <c r="D348" s="62">
        <f>Fluxo_de_Caixa_Janeiro3[[#This Row],[Fevereiro]]</f>
        <v>0</v>
      </c>
      <c r="E348" s="62">
        <f>Fluxo_de_Caixa_Janeiro34[[#This Row],[Março]]</f>
        <v>0</v>
      </c>
      <c r="F348" s="62">
        <f>Fluxo_de_Caixa_Janeiro345[[#This Row],[ABRIL]]</f>
        <v>0</v>
      </c>
      <c r="G348" s="62">
        <f>Fluxo_de_Caixa_Janeiro3459[[#This Row],[MAIO]]</f>
        <v>0</v>
      </c>
      <c r="H348" s="62">
        <f>Fluxo_de_Caixa_Janeiro345911[[#This Row],[JUNHO]]</f>
        <v>0</v>
      </c>
      <c r="I348" s="35"/>
      <c r="J348" s="62"/>
      <c r="K348" s="62"/>
      <c r="L348" s="62"/>
      <c r="M348" s="62"/>
      <c r="N348" s="119"/>
      <c r="O348" s="243">
        <f>Fluxo_de_Caixa_Janeiro310208[[#This Row],[Junho]]</f>
        <v>0</v>
      </c>
      <c r="P348" s="138" t="str">
        <f t="shared" si="17"/>
        <v>0,00%</v>
      </c>
      <c r="Q348" s="78"/>
      <c r="T348" s="537">
        <v>0</v>
      </c>
      <c r="U348" s="574">
        <v>0</v>
      </c>
    </row>
    <row r="349" spans="2:21" x14ac:dyDescent="0.25">
      <c r="B349" s="47" t="str">
        <f>Fluxo_de_Caixa_Janeiro[[#This Row],[Fluxo de Caixa 2026 CTR]]</f>
        <v>2.1 - BANCO DO BRASIL C.C.60638-3 FILIAL PALMAS</v>
      </c>
      <c r="C349" s="35">
        <f>Fluxo_de_Caixa_Janeiro[[#This Row],[Janeiro]]</f>
        <v>1829.48</v>
      </c>
      <c r="D349" s="62">
        <f>Fluxo_de_Caixa_Janeiro3[[#This Row],[Fevereiro]]</f>
        <v>65.56</v>
      </c>
      <c r="E349" s="62">
        <f>Fluxo_de_Caixa_Janeiro34[[#This Row],[Março]]</f>
        <v>33375.699999999997</v>
      </c>
      <c r="F349" s="62">
        <f>Fluxo_de_Caixa_Janeiro345[[#This Row],[ABRIL]]</f>
        <v>62169.13</v>
      </c>
      <c r="G349" s="62">
        <f>Fluxo_de_Caixa_Janeiro3459[[#This Row],[MAIO]]</f>
        <v>87184.33</v>
      </c>
      <c r="H349" s="62">
        <f>Fluxo_de_Caixa_Janeiro345911[[#This Row],[JUNHO]]</f>
        <v>0</v>
      </c>
      <c r="I349" s="35"/>
      <c r="J349" s="62"/>
      <c r="K349" s="62"/>
      <c r="L349" s="62"/>
      <c r="M349" s="62"/>
      <c r="N349" s="119"/>
      <c r="O349" s="243">
        <f>Fluxo_de_Caixa_Janeiro310208[[#This Row],[Junho]]</f>
        <v>0</v>
      </c>
      <c r="P349" s="138" t="str">
        <f t="shared" si="17"/>
        <v>0,00%</v>
      </c>
      <c r="Q349" s="78"/>
      <c r="T349" s="537">
        <v>349.84</v>
      </c>
      <c r="U349" s="574">
        <v>1.27323905114138E-3</v>
      </c>
    </row>
    <row r="350" spans="2:21" hidden="1" x14ac:dyDescent="0.25">
      <c r="B350" s="47">
        <f>Fluxo_de_Caixa_Janeiro[[#This Row],[Fluxo de Caixa 2026 CTR]]</f>
        <v>0</v>
      </c>
      <c r="C350" s="35">
        <f>Fluxo_de_Caixa_Janeiro[[#This Row],[Janeiro]]</f>
        <v>0</v>
      </c>
      <c r="D350" s="62">
        <f>Fluxo_de_Caixa_Janeiro3[[#This Row],[Fevereiro]]</f>
        <v>0</v>
      </c>
      <c r="E350" s="62">
        <f>Fluxo_de_Caixa_Janeiro34[[#This Row],[Março]]</f>
        <v>0</v>
      </c>
      <c r="F350" s="62">
        <f>Fluxo_de_Caixa_Janeiro345[[#This Row],[ABRIL]]</f>
        <v>0</v>
      </c>
      <c r="G350" s="62">
        <f>Fluxo_de_Caixa_Janeiro3459[[#This Row],[MAIO]]</f>
        <v>0</v>
      </c>
      <c r="H350" s="62">
        <f>Fluxo_de_Caixa_Janeiro345911[[#This Row],[JUNHO]]</f>
        <v>0</v>
      </c>
      <c r="I350" s="35"/>
      <c r="J350" s="62"/>
      <c r="K350" s="62"/>
      <c r="L350" s="62"/>
      <c r="M350" s="62"/>
      <c r="N350" s="119"/>
      <c r="O350" s="243">
        <f>Fluxo_de_Caixa_Janeiro310208[[#This Row],[Junho]]</f>
        <v>0</v>
      </c>
      <c r="P350" s="138" t="str">
        <f t="shared" si="17"/>
        <v>0,00%</v>
      </c>
      <c r="Q350" s="78"/>
      <c r="T350" s="537">
        <v>0</v>
      </c>
      <c r="U350" s="574">
        <v>0</v>
      </c>
    </row>
    <row r="351" spans="2:21" hidden="1" x14ac:dyDescent="0.25">
      <c r="B351" s="47">
        <f>Fluxo_de_Caixa_Janeiro[[#This Row],[Fluxo de Caixa 2026 CTR]]</f>
        <v>0</v>
      </c>
      <c r="C351" s="35">
        <f>Fluxo_de_Caixa_Janeiro[[#This Row],[Janeiro]]</f>
        <v>0</v>
      </c>
      <c r="D351" s="62">
        <f>Fluxo_de_Caixa_Janeiro3[[#This Row],[Fevereiro]]</f>
        <v>0</v>
      </c>
      <c r="E351" s="62">
        <f>Fluxo_de_Caixa_Janeiro34[[#This Row],[Março]]</f>
        <v>0</v>
      </c>
      <c r="F351" s="62">
        <f>Fluxo_de_Caixa_Janeiro345[[#This Row],[ABRIL]]</f>
        <v>0</v>
      </c>
      <c r="G351" s="62">
        <f>Fluxo_de_Caixa_Janeiro3459[[#This Row],[MAIO]]</f>
        <v>0</v>
      </c>
      <c r="H351" s="62">
        <f>Fluxo_de_Caixa_Janeiro345911[[#This Row],[JUNHO]]</f>
        <v>0</v>
      </c>
      <c r="I351" s="35"/>
      <c r="J351" s="62"/>
      <c r="K351" s="62"/>
      <c r="L351" s="62"/>
      <c r="M351" s="62"/>
      <c r="N351" s="119"/>
      <c r="O351" s="243">
        <f>Fluxo_de_Caixa_Janeiro310208[[#This Row],[Junho]]</f>
        <v>0</v>
      </c>
      <c r="P351" s="138" t="str">
        <f t="shared" ref="P351:P360" si="18">IFERROR(O351/$O$336,"0,00%")</f>
        <v>0,00%</v>
      </c>
      <c r="Q351" s="78"/>
      <c r="T351" s="537">
        <v>100.76</v>
      </c>
      <c r="U351" s="574">
        <v>3.6671497482565019E-4</v>
      </c>
    </row>
    <row r="352" spans="2:21" x14ac:dyDescent="0.25">
      <c r="B352" s="47" t="str">
        <f>Fluxo_de_Caixa_Janeiro[[#This Row],[Fluxo de Caixa 2026 CTR]]</f>
        <v>2.4 - ITAU C.C.98669-0 FILIAL PALMAS</v>
      </c>
      <c r="C352" s="35">
        <f>Fluxo_de_Caixa_Janeiro[[#This Row],[Janeiro]]</f>
        <v>536.72</v>
      </c>
      <c r="D352" s="62">
        <f>Fluxo_de_Caixa_Janeiro3[[#This Row],[Fevereiro]]</f>
        <v>37.729999999999997</v>
      </c>
      <c r="E352" s="62">
        <f>Fluxo_de_Caixa_Janeiro34[[#This Row],[Março]]</f>
        <v>37.729999999999997</v>
      </c>
      <c r="F352" s="62">
        <f>Fluxo_de_Caixa_Janeiro345[[#This Row],[ABRIL]]</f>
        <v>37.729999999999997</v>
      </c>
      <c r="G352" s="62">
        <f>Fluxo_de_Caixa_Janeiro3459[[#This Row],[MAIO]]</f>
        <v>37.729999999999997</v>
      </c>
      <c r="H352" s="62">
        <f>Fluxo_de_Caixa_Janeiro345911[[#This Row],[JUNHO]]</f>
        <v>0</v>
      </c>
      <c r="I352" s="35"/>
      <c r="J352" s="62"/>
      <c r="K352" s="62"/>
      <c r="L352" s="62"/>
      <c r="M352" s="62"/>
      <c r="N352" s="119"/>
      <c r="O352" s="243">
        <f>Fluxo_de_Caixa_Janeiro310208[[#This Row],[Junho]]</f>
        <v>0</v>
      </c>
      <c r="P352" s="138" t="str">
        <f t="shared" si="18"/>
        <v>0,00%</v>
      </c>
      <c r="Q352" s="78"/>
      <c r="T352" s="537">
        <v>0</v>
      </c>
      <c r="U352" s="574">
        <v>0</v>
      </c>
    </row>
    <row r="353" spans="2:21" x14ac:dyDescent="0.25">
      <c r="B353" s="47" t="str">
        <f>Fluxo_de_Caixa_Janeiro[[#This Row],[Fluxo de Caixa 2026 CTR]]</f>
        <v>2.9 - CONTA PERDA/ROUBO E BONIFICAÇÃO FILIAL</v>
      </c>
      <c r="C353" s="35">
        <f>Fluxo_de_Caixa_Janeiro[[#This Row],[Janeiro]]</f>
        <v>-219.15</v>
      </c>
      <c r="D353" s="62">
        <f>Fluxo_de_Caixa_Janeiro3[[#This Row],[Fevereiro]]</f>
        <v>-8598.58</v>
      </c>
      <c r="E353" s="62">
        <f>Fluxo_de_Caixa_Janeiro34[[#This Row],[Março]]</f>
        <v>-8598.58</v>
      </c>
      <c r="F353" s="62">
        <f>Fluxo_de_Caixa_Janeiro345[[#This Row],[ABRIL]]</f>
        <v>-8367.5</v>
      </c>
      <c r="G353" s="62">
        <f>Fluxo_de_Caixa_Janeiro3459[[#This Row],[MAIO]]</f>
        <v>-8367.5</v>
      </c>
      <c r="H353" s="62">
        <f>Fluxo_de_Caixa_Janeiro345911[[#This Row],[JUNHO]]</f>
        <v>0</v>
      </c>
      <c r="I353" s="35"/>
      <c r="J353" s="62"/>
      <c r="K353" s="62"/>
      <c r="L353" s="62"/>
      <c r="M353" s="62"/>
      <c r="N353" s="119"/>
      <c r="O353" s="243">
        <f>Fluxo_de_Caixa_Janeiro310208[[#This Row],[Junho]]</f>
        <v>0</v>
      </c>
      <c r="P353" s="138" t="str">
        <f t="shared" si="18"/>
        <v>0,00%</v>
      </c>
      <c r="Q353" s="78"/>
      <c r="T353" s="537">
        <v>563.07000000000005</v>
      </c>
      <c r="U353" s="574">
        <v>2.049287424325912E-3</v>
      </c>
    </row>
    <row r="354" spans="2:21" x14ac:dyDescent="0.25">
      <c r="B354" s="47" t="str">
        <f>Fluxo_de_Caixa_Janeiro[[#This Row],[Fluxo de Caixa 2026 CTR]]</f>
        <v>4.0 - TESOURARIA FILIAL PORTO</v>
      </c>
      <c r="C354" s="35">
        <f>Fluxo_de_Caixa_Janeiro[[#This Row],[Janeiro]]</f>
        <v>385.51</v>
      </c>
      <c r="D354" s="62">
        <f>Fluxo_de_Caixa_Janeiro3[[#This Row],[Fevereiro]]</f>
        <v>1327.43</v>
      </c>
      <c r="E354" s="62">
        <f>Fluxo_de_Caixa_Janeiro34[[#This Row],[Março]]</f>
        <v>534.16</v>
      </c>
      <c r="F354" s="62">
        <f>Fluxo_de_Caixa_Janeiro345[[#This Row],[ABRIL]]</f>
        <v>372.39</v>
      </c>
      <c r="G354" s="62">
        <f>Fluxo_de_Caixa_Janeiro3459[[#This Row],[MAIO]]</f>
        <v>1465.27</v>
      </c>
      <c r="H354" s="62">
        <f>Fluxo_de_Caixa_Janeiro345911[[#This Row],[JUNHO]]</f>
        <v>0</v>
      </c>
      <c r="I354" s="35"/>
      <c r="J354" s="62"/>
      <c r="K354" s="62"/>
      <c r="L354" s="62"/>
      <c r="M354" s="62"/>
      <c r="N354" s="119"/>
      <c r="O354" s="243">
        <f>Fluxo_de_Caixa_Janeiro310208[[#This Row],[Junho]]</f>
        <v>0</v>
      </c>
      <c r="P354" s="138" t="str">
        <f t="shared" si="18"/>
        <v>0,00%</v>
      </c>
      <c r="Q354" s="78"/>
      <c r="T354" s="537">
        <v>2061.56</v>
      </c>
      <c r="U354" s="574">
        <v>7.5030262356249244E-3</v>
      </c>
    </row>
    <row r="355" spans="2:21" x14ac:dyDescent="0.25">
      <c r="B355" s="47" t="str">
        <f>Fluxo_de_Caixa_Janeiro[[#This Row],[Fluxo de Caixa 2026 CTR]]</f>
        <v>4.1 -  BANCO DO BRASIL C.C.61105-0 FILIAL PORTO</v>
      </c>
      <c r="C355" s="35">
        <f>Fluxo_de_Caixa_Janeiro[[#This Row],[Janeiro]]</f>
        <v>16.829999999999998</v>
      </c>
      <c r="D355" s="62">
        <f>Fluxo_de_Caixa_Janeiro3[[#This Row],[Fevereiro]]</f>
        <v>111.93</v>
      </c>
      <c r="E355" s="62">
        <f>Fluxo_de_Caixa_Janeiro34[[#This Row],[Março]]</f>
        <v>521.91999999999996</v>
      </c>
      <c r="F355" s="62">
        <f>Fluxo_de_Caixa_Janeiro345[[#This Row],[ABRIL]]</f>
        <v>308.02999999999997</v>
      </c>
      <c r="G355" s="62">
        <f>Fluxo_de_Caixa_Janeiro3459[[#This Row],[MAIO]]</f>
        <v>242.15</v>
      </c>
      <c r="H355" s="62">
        <f>Fluxo_de_Caixa_Janeiro345911[[#This Row],[JUNHO]]</f>
        <v>0</v>
      </c>
      <c r="I355" s="35"/>
      <c r="J355" s="62"/>
      <c r="K355" s="62"/>
      <c r="L355" s="62"/>
      <c r="M355" s="62"/>
      <c r="N355" s="119"/>
      <c r="O355" s="243">
        <f>Fluxo_de_Caixa_Janeiro310208[[#This Row],[Junho]]</f>
        <v>0</v>
      </c>
      <c r="P355" s="138" t="str">
        <f t="shared" si="18"/>
        <v>0,00%</v>
      </c>
      <c r="Q355" s="78"/>
      <c r="T355" s="537">
        <v>621.41</v>
      </c>
      <c r="U355" s="574">
        <v>2.2616152491703777E-3</v>
      </c>
    </row>
    <row r="356" spans="2:21" hidden="1" x14ac:dyDescent="0.25">
      <c r="B356" s="47">
        <f>Fluxo_de_Caixa_Janeiro[[#This Row],[Fluxo de Caixa 2026 CTR]]</f>
        <v>0</v>
      </c>
      <c r="C356" s="35">
        <f>Fluxo_de_Caixa_Janeiro[[#This Row],[Janeiro]]</f>
        <v>0</v>
      </c>
      <c r="D356" s="62">
        <f>Fluxo_de_Caixa_Janeiro3[[#This Row],[Fevereiro]]</f>
        <v>0</v>
      </c>
      <c r="E356" s="62">
        <f>Fluxo_de_Caixa_Janeiro34[[#This Row],[Março]]</f>
        <v>0</v>
      </c>
      <c r="F356" s="62">
        <f>Fluxo_de_Caixa_Janeiro345[[#This Row],[ABRIL]]</f>
        <v>0</v>
      </c>
      <c r="G356" s="62">
        <f>Fluxo_de_Caixa_Janeiro3459[[#This Row],[MAIO]]</f>
        <v>0</v>
      </c>
      <c r="H356" s="62">
        <f>Fluxo_de_Caixa_Janeiro345911[[#This Row],[JUNHO]]</f>
        <v>0</v>
      </c>
      <c r="I356" s="35"/>
      <c r="J356" s="62"/>
      <c r="K356" s="62"/>
      <c r="L356" s="62"/>
      <c r="M356" s="62"/>
      <c r="N356" s="119"/>
      <c r="O356" s="243">
        <f>Fluxo_de_Caixa_Janeiro310208[[#This Row],[Junho]]</f>
        <v>0</v>
      </c>
      <c r="P356" s="138" t="str">
        <f t="shared" si="18"/>
        <v>0,00%</v>
      </c>
      <c r="Q356" s="78"/>
      <c r="T356" s="537">
        <v>0</v>
      </c>
      <c r="U356" s="574">
        <v>0</v>
      </c>
    </row>
    <row r="357" spans="2:21" x14ac:dyDescent="0.25">
      <c r="B357" s="47" t="str">
        <f>Fluxo_de_Caixa_Janeiro[[#This Row],[Fluxo de Caixa 2026 CTR]]</f>
        <v>4.4 - MERCADO PAGO PIX FILIAL PORTO</v>
      </c>
      <c r="C357" s="35">
        <f>Fluxo_de_Caixa_Janeiro[[#This Row],[Janeiro]]</f>
        <v>2060.42</v>
      </c>
      <c r="D357" s="62">
        <f>Fluxo_de_Caixa_Janeiro3[[#This Row],[Fevereiro]]</f>
        <v>22539.57</v>
      </c>
      <c r="E357" s="62">
        <f>Fluxo_de_Caixa_Janeiro34[[#This Row],[Março]]</f>
        <v>13187.1</v>
      </c>
      <c r="F357" s="62">
        <f>Fluxo_de_Caixa_Janeiro345[[#This Row],[ABRIL]]</f>
        <v>6468.92</v>
      </c>
      <c r="G357" s="62">
        <f>Fluxo_de_Caixa_Janeiro3459[[#This Row],[MAIO]]</f>
        <v>1811.61</v>
      </c>
      <c r="H357" s="62">
        <f>Fluxo_de_Caixa_Janeiro345911[[#This Row],[JUNHO]]</f>
        <v>0</v>
      </c>
      <c r="I357" s="35"/>
      <c r="J357" s="62"/>
      <c r="K357" s="62"/>
      <c r="L357" s="62"/>
      <c r="M357" s="62"/>
      <c r="N357" s="119"/>
      <c r="O357" s="243">
        <f>Fluxo_de_Caixa_Janeiro310208[[#This Row],[Junho]]</f>
        <v>0</v>
      </c>
      <c r="P357" s="138" t="str">
        <f t="shared" si="18"/>
        <v>0,00%</v>
      </c>
      <c r="Q357" s="78"/>
      <c r="T357" s="537">
        <v>27876.720000000001</v>
      </c>
      <c r="U357" s="574">
        <v>0.10145703327730944</v>
      </c>
    </row>
    <row r="358" spans="2:21" x14ac:dyDescent="0.25">
      <c r="B358" s="47" t="str">
        <f>Fluxo_de_Caixa_Janeiro[[#This Row],[Fluxo de Caixa 2026 CTR]]</f>
        <v>4.9 - CONTA PERDA/ROUBO E BONIFICAÇÃO FILIAL</v>
      </c>
      <c r="C358" s="35">
        <f>Fluxo_de_Caixa_Janeiro[[#This Row],[Janeiro]]</f>
        <v>0</v>
      </c>
      <c r="D358" s="62">
        <f>Fluxo_de_Caixa_Janeiro3[[#This Row],[Fevereiro]]</f>
        <v>-29071.86</v>
      </c>
      <c r="E358" s="62">
        <f>Fluxo_de_Caixa_Janeiro34[[#This Row],[Março]]</f>
        <v>-29071.86</v>
      </c>
      <c r="F358" s="62">
        <f>Fluxo_de_Caixa_Janeiro345[[#This Row],[ABRIL]]</f>
        <v>-29071.86</v>
      </c>
      <c r="G358" s="62">
        <f>Fluxo_de_Caixa_Janeiro3459[[#This Row],[MAIO]]</f>
        <v>-29071.86</v>
      </c>
      <c r="H358" s="62">
        <f>Fluxo_de_Caixa_Janeiro345911[[#This Row],[JUNHO]]</f>
        <v>0</v>
      </c>
      <c r="I358" s="35"/>
      <c r="J358" s="62"/>
      <c r="K358" s="62"/>
      <c r="L358" s="62"/>
      <c r="M358" s="62"/>
      <c r="N358" s="119"/>
      <c r="O358" s="243">
        <f>Fluxo_de_Caixa_Janeiro310208[[#This Row],[Junho]]</f>
        <v>0</v>
      </c>
      <c r="P358" s="138" t="str">
        <f t="shared" si="18"/>
        <v>0,00%</v>
      </c>
      <c r="Q358" s="78"/>
      <c r="T358" s="537">
        <v>-5662.4</v>
      </c>
      <c r="U358" s="574">
        <v>-2.0608246064437886E-2</v>
      </c>
    </row>
    <row r="359" spans="2:21" ht="15.75" thickBot="1" x14ac:dyDescent="0.3">
      <c r="B359" s="47" t="str">
        <f>Fluxo_de_Caixa_Janeiro[[#This Row],[Fluxo de Caixa 2026 CTR]]</f>
        <v>91.CARTÃO ENDERED 5099+4596+6933+8072 - ESCRITORIO</v>
      </c>
      <c r="C359" s="35">
        <f>Fluxo_de_Caixa_Janeiro[[#This Row],[Janeiro]]</f>
        <v>1362.74</v>
      </c>
      <c r="D359" s="62">
        <f>Fluxo_de_Caixa_Janeiro3[[#This Row],[Fevereiro]]</f>
        <v>1948.05</v>
      </c>
      <c r="E359" s="62">
        <f>Fluxo_de_Caixa_Janeiro34[[#This Row],[Março]]</f>
        <v>4229.6900000000005</v>
      </c>
      <c r="F359" s="62">
        <f>Fluxo_de_Caixa_Janeiro345[[#This Row],[ABRIL]]</f>
        <v>3055.0099999999998</v>
      </c>
      <c r="G359" s="62">
        <f>Fluxo_de_Caixa_Janeiro3459[[#This Row],[MAIO]]</f>
        <v>4162.5600000000004</v>
      </c>
      <c r="H359" s="62">
        <f>Fluxo_de_Caixa_Janeiro345911[[#This Row],[JUNHO]]</f>
        <v>0</v>
      </c>
      <c r="I359" s="35"/>
      <c r="J359" s="62"/>
      <c r="K359" s="62"/>
      <c r="L359" s="62"/>
      <c r="M359" s="62"/>
      <c r="N359" s="119"/>
      <c r="O359" s="243">
        <f>Fluxo_de_Caixa_Janeiro310208[[#This Row],[Junho]]</f>
        <v>0</v>
      </c>
      <c r="P359" s="138" t="str">
        <f t="shared" si="18"/>
        <v>0,00%</v>
      </c>
      <c r="Q359" s="78"/>
      <c r="T359" s="537">
        <v>3297.65</v>
      </c>
      <c r="U359" s="574">
        <v>1.2001762968775361E-2</v>
      </c>
    </row>
    <row r="360" spans="2:21" ht="15.75" hidden="1" thickBot="1" x14ac:dyDescent="0.3">
      <c r="B360" s="47">
        <f>Fluxo_de_Caixa_Janeiro[[#This Row],[Fluxo de Caixa 2026 CTR]]</f>
        <v>0</v>
      </c>
      <c r="C360" s="35">
        <f>Fluxo_de_Caixa_Janeiro[[#This Row],[Janeiro]]</f>
        <v>0</v>
      </c>
      <c r="D360" s="62">
        <f>Fluxo_de_Caixa_Janeiro3[[#This Row],[Fevereiro]]</f>
        <v>0</v>
      </c>
      <c r="E360" s="62">
        <f>Fluxo_de_Caixa_Janeiro34[[#This Row],[Março]]</f>
        <v>0</v>
      </c>
      <c r="F360" s="62">
        <f>Fluxo_de_Caixa_Janeiro345[[#This Row],[ABRIL]]</f>
        <v>0</v>
      </c>
      <c r="G360" s="62">
        <f>Fluxo_de_Caixa_Janeiro3459[[#This Row],[MAIO]]</f>
        <v>0</v>
      </c>
      <c r="H360" s="62">
        <f>Fluxo_de_Caixa_Janeiro345911[[#This Row],[JUNHO]]</f>
        <v>0</v>
      </c>
      <c r="I360" s="35"/>
      <c r="J360" s="62"/>
      <c r="K360" s="62"/>
      <c r="L360" s="62"/>
      <c r="M360" s="62"/>
      <c r="N360" s="119"/>
      <c r="O360" s="244">
        <f>Fluxo_de_Caixa_Janeiro310208[[#This Row],[Dezembro]]</f>
        <v>0</v>
      </c>
      <c r="P360" s="138" t="str">
        <f t="shared" si="18"/>
        <v>0,00%</v>
      </c>
      <c r="Q360" s="78"/>
      <c r="T360" s="609">
        <v>0</v>
      </c>
      <c r="U360" s="574">
        <v>0</v>
      </c>
    </row>
    <row r="361" spans="2:21" ht="24" thickBot="1" x14ac:dyDescent="0.4">
      <c r="B361" s="176"/>
      <c r="C361" s="164">
        <f>Fluxo_de_Caixa_Janeiro[[#This Row],[Janeiro]]</f>
        <v>-150.01000000001295</v>
      </c>
      <c r="D361" s="116">
        <f>Fluxo_de_Caixa_Janeiro3[[#This Row],[Fevereiro]]</f>
        <v>180.01000000016575</v>
      </c>
      <c r="E361" s="116">
        <f>Fluxo_de_Caixa_Janeiro34[[#This Row],[Março]]</f>
        <v>220.65999999997439</v>
      </c>
      <c r="F361" s="116">
        <f>Fluxo_de_Caixa_Janeiro345[[#This Row],[ABRIL]]</f>
        <v>250.32000000018161</v>
      </c>
      <c r="G361" s="116">
        <f>Fluxo_de_Caixa_Janeiro3459[[#This Row],[MAIO]]</f>
        <v>-99.700000000069849</v>
      </c>
      <c r="H361" s="116">
        <f>Fluxo_de_Caixa_Janeiro345911[[#This Row],[JUNHO]]</f>
        <v>-730895.57000000007</v>
      </c>
      <c r="I361" s="164"/>
      <c r="J361" s="116"/>
      <c r="K361" s="116"/>
      <c r="L361" s="116"/>
      <c r="M361" s="116"/>
      <c r="N361" s="136"/>
      <c r="O361" s="245">
        <f>O336-O335</f>
        <v>-732724.08999999892</v>
      </c>
      <c r="P361" s="255" t="str">
        <f t="shared" si="17"/>
        <v>0,00%</v>
      </c>
      <c r="Q361" s="117"/>
      <c r="T361" s="610">
        <v>0</v>
      </c>
      <c r="U361" s="611">
        <v>0</v>
      </c>
    </row>
    <row r="362" spans="2:21" x14ac:dyDescent="0.25"/>
    <row r="363" spans="2:21" x14ac:dyDescent="0.25"/>
    <row r="364" spans="2:21" x14ac:dyDescent="0.25">
      <c r="O364" s="9"/>
    </row>
    <row r="365" spans="2:21" x14ac:dyDescent="0.25">
      <c r="O365" s="246" t="s">
        <v>327</v>
      </c>
    </row>
    <row r="366" spans="2:21" x14ac:dyDescent="0.25"/>
    <row r="367" spans="2:21" x14ac:dyDescent="0.25">
      <c r="H367" s="287"/>
    </row>
    <row r="368" spans="2:21" x14ac:dyDescent="0.25">
      <c r="H368" s="287"/>
    </row>
    <row r="369" spans="7:8" x14ac:dyDescent="0.25">
      <c r="H369" s="568"/>
    </row>
    <row r="370" spans="7:8" x14ac:dyDescent="0.25">
      <c r="G370" s="472"/>
      <c r="H370" s="287"/>
    </row>
    <row r="371" spans="7:8" x14ac:dyDescent="0.25">
      <c r="H371" s="246"/>
    </row>
    <row r="372" spans="7:8" x14ac:dyDescent="0.25">
      <c r="H372" s="287"/>
    </row>
    <row r="373" spans="7:8" x14ac:dyDescent="0.25"/>
    <row r="374" spans="7:8" x14ac:dyDescent="0.25"/>
    <row r="375" spans="7:8" x14ac:dyDescent="0.25"/>
    <row r="376" spans="7:8" x14ac:dyDescent="0.25"/>
    <row r="377" spans="7:8" x14ac:dyDescent="0.25"/>
    <row r="378" spans="7:8" x14ac:dyDescent="0.25"/>
    <row r="379" spans="7:8" x14ac:dyDescent="0.25"/>
    <row r="380" spans="7:8" x14ac:dyDescent="0.25"/>
    <row r="381" spans="7:8" x14ac:dyDescent="0.25"/>
    <row r="382" spans="7:8" x14ac:dyDescent="0.25"/>
    <row r="383" spans="7:8" x14ac:dyDescent="0.25"/>
    <row r="384" spans="7:8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1" spans="5:8" x14ac:dyDescent="0.25"/>
    <row r="402" spans="5:8" x14ac:dyDescent="0.25">
      <c r="E402" s="290"/>
    </row>
    <row r="403" spans="5:8" x14ac:dyDescent="0.25">
      <c r="E403" s="246"/>
      <c r="F403" s="246"/>
      <c r="H403" s="290"/>
    </row>
    <row r="404" spans="5:8" x14ac:dyDescent="0.25">
      <c r="E404" s="665"/>
      <c r="F404" s="287"/>
      <c r="G404" s="667"/>
      <c r="H404" s="246"/>
    </row>
    <row r="405" spans="5:8" x14ac:dyDescent="0.25">
      <c r="E405" s="246"/>
    </row>
    <row r="406" spans="5:8" x14ac:dyDescent="0.25">
      <c r="E406" s="287"/>
    </row>
    <row r="407" spans="5:8" x14ac:dyDescent="0.25">
      <c r="E407" s="246"/>
      <c r="F407" s="287"/>
    </row>
    <row r="408" spans="5:8" x14ac:dyDescent="0.25">
      <c r="E408" s="666"/>
      <c r="F408" s="287"/>
    </row>
    <row r="409" spans="5:8" x14ac:dyDescent="0.25">
      <c r="E409" s="290"/>
    </row>
    <row r="410" spans="5:8" x14ac:dyDescent="0.25">
      <c r="E410" s="246"/>
      <c r="F410" s="287"/>
    </row>
    <row r="411" spans="5:8" x14ac:dyDescent="0.25">
      <c r="E411" s="246"/>
    </row>
    <row r="412" spans="5:8" x14ac:dyDescent="0.25">
      <c r="E412" s="287"/>
    </row>
    <row r="413" spans="5:8" x14ac:dyDescent="0.25"/>
    <row r="415" spans="5:8" x14ac:dyDescent="0.25"/>
    <row r="417" x14ac:dyDescent="0.25"/>
    <row r="418" x14ac:dyDescent="0.25"/>
    <row r="419" x14ac:dyDescent="0.25"/>
    <row r="420" x14ac:dyDescent="0.25"/>
    <row r="421" x14ac:dyDescent="0.25"/>
    <row r="423" x14ac:dyDescent="0.25"/>
    <row r="424" x14ac:dyDescent="0.25"/>
  </sheetData>
  <protectedRanges>
    <protectedRange sqref="O360" name="Saldo Final de Banco"/>
    <protectedRange sqref="O326:O329 O311:O314 O276:O293 T326:T329 T311:T314 T276:T293" name="Despesas nao operacionais"/>
    <protectedRange sqref="O249:O255 O241:O247 O257:O260 O262:O271 T249:T255 T241:T247 T257:T260 T262:T271" name="Receita nao opercional"/>
    <protectedRange sqref="T14:T26" name="Bancos"/>
    <protectedRange sqref="O51 O29:O47 T51 T29:T47" name="Total Receitas Operacionais  Vendas"/>
    <protectedRange sqref="O61:O63 O71:O72 O55:O59 O78:O84 O65:O69 T61:T63 T71:T72 T55:T59 T78:T84 T65:T69" name="Despesas Custo Aquisicao"/>
    <protectedRange sqref="T3:T13 O3:O26" name="Intervalo1"/>
    <protectedRange sqref="O49:O50 T49:T50" name="Total Receitas Operacionais  Vendas_1"/>
    <protectedRange sqref="O53:O54 T53:T54" name="Despesas Custo Aquisicao_1"/>
    <protectedRange sqref="O73:O77 T73:T77" name="Despesas Custo Aquisicao_2"/>
    <protectedRange sqref="O101:O108 T101:T108" name="Despesas Operacionais_2"/>
    <protectedRange sqref="O114:O122 T114:T122" name="Despesas Operacionais_3"/>
    <protectedRange sqref="O132:O144 O146:O148 T132:T144 T146:T148" name="Despesas Operacionais_4"/>
    <protectedRange sqref="O153:O162 T153:T162" name="Despesas Operacionais_5"/>
    <protectedRange sqref="O168 T168" name="Despesas Operacionais_6"/>
    <protectedRange sqref="O174:O178 T174:T178" name="Despesas Operacionais_7"/>
    <protectedRange sqref="O194 T194" name="Despesas Operacionais_8"/>
    <protectedRange sqref="O64 T64" name="Despesas Custo Aquisicao_3"/>
    <protectedRange sqref="O240 T240" name="Receita nao opercional_1"/>
    <protectedRange sqref="O256 T256" name="Receita nao opercional_2"/>
    <protectedRange sqref="O274:O275 T274:T275" name="Despesas nao operacionais_1"/>
    <protectedRange sqref="O295:O310 T295:T310" name="Despesas nao operacionais_2"/>
    <protectedRange sqref="O316:O321 O323:O325 T316:T321 T323:T325" name="Despesas nao operacionais_3"/>
    <protectedRange sqref="T337:T341 O337:O359" name="Saldo Final de Banco_1"/>
    <protectedRange sqref="O89:O95 T89:T95" name="Despesas Operacionais_9"/>
    <protectedRange sqref="C344:H360" name="Saldo Final de Banco_2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43" name="Saldo Final de Banco_1_1"/>
    <protectedRange sqref="C89:H95" name="Despesas Operacionais_9_1"/>
    <protectedRange sqref="I344:N360" name="Saldo Final de Banco_4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5:N59 I78:N84 I65:N69" name="Despesas Custo Aquisicao_6"/>
    <protectedRange sqref="I3:N13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43" name="Saldo Final de Banco_1_3"/>
    <protectedRange sqref="I89:N95" name="Despesas Operacionais_9_3"/>
  </protectedRanges>
  <conditionalFormatting sqref="C86:H86">
    <cfRule type="cellIs" dxfId="441" priority="69" operator="lessThan">
      <formula>0</formula>
    </cfRule>
  </conditionalFormatting>
  <conditionalFormatting sqref="C237:H237 C334:H334">
    <cfRule type="cellIs" dxfId="440" priority="75" operator="lessThan">
      <formula>0</formula>
    </cfRule>
    <cfRule type="cellIs" dxfId="439" priority="76" operator="greaterThan">
      <formula>0</formula>
    </cfRule>
  </conditionalFormatting>
  <conditionalFormatting sqref="C237:H237">
    <cfRule type="cellIs" dxfId="438" priority="72" operator="greaterThan">
      <formula>0</formula>
    </cfRule>
  </conditionalFormatting>
  <conditionalFormatting sqref="C335:H335">
    <cfRule type="cellIs" dxfId="437" priority="70" operator="lessThan">
      <formula>0</formula>
    </cfRule>
    <cfRule type="cellIs" dxfId="436" priority="71" operator="greaterThan">
      <formula>0.001</formula>
    </cfRule>
    <cfRule type="cellIs" dxfId="435" priority="73" operator="lessThan">
      <formula>0</formula>
    </cfRule>
    <cfRule type="cellIs" dxfId="434" priority="74" operator="greaterThan">
      <formula>0</formula>
    </cfRule>
    <cfRule type="aboveAverage" dxfId="433" priority="78" aboveAverage="0"/>
  </conditionalFormatting>
  <conditionalFormatting sqref="I86:N86">
    <cfRule type="cellIs" dxfId="432" priority="59" operator="lessThan">
      <formula>0</formula>
    </cfRule>
  </conditionalFormatting>
  <conditionalFormatting sqref="I237:N237 I334:N334">
    <cfRule type="cellIs" dxfId="431" priority="65" operator="lessThan">
      <formula>0</formula>
    </cfRule>
    <cfRule type="cellIs" dxfId="430" priority="66" operator="greaterThan">
      <formula>0</formula>
    </cfRule>
  </conditionalFormatting>
  <conditionalFormatting sqref="I237:N237">
    <cfRule type="cellIs" dxfId="429" priority="62" operator="greaterThan">
      <formula>0</formula>
    </cfRule>
  </conditionalFormatting>
  <conditionalFormatting sqref="I335:N335">
    <cfRule type="cellIs" dxfId="428" priority="63" operator="lessThan">
      <formula>0</formula>
    </cfRule>
    <cfRule type="cellIs" dxfId="427" priority="60" operator="lessThan">
      <formula>0</formula>
    </cfRule>
    <cfRule type="cellIs" dxfId="426" priority="61" operator="greaterThan">
      <formula>0.001</formula>
    </cfRule>
    <cfRule type="cellIs" dxfId="425" priority="64" operator="greaterThan">
      <formula>0</formula>
    </cfRule>
    <cfRule type="aboveAverage" dxfId="424" priority="68" aboveAverage="0"/>
  </conditionalFormatting>
  <conditionalFormatting sqref="O86">
    <cfRule type="cellIs" dxfId="423" priority="79" operator="lessThan">
      <formula>0</formula>
    </cfRule>
  </conditionalFormatting>
  <conditionalFormatting sqref="O237 O334">
    <cfRule type="cellIs" dxfId="422" priority="87" operator="greaterThan">
      <formula>0</formula>
    </cfRule>
  </conditionalFormatting>
  <conditionalFormatting sqref="O237">
    <cfRule type="cellIs" dxfId="421" priority="81" operator="greaterThan">
      <formula>0</formula>
    </cfRule>
    <cfRule type="cellIs" dxfId="420" priority="82" operator="lessThan">
      <formula>0</formula>
    </cfRule>
  </conditionalFormatting>
  <conditionalFormatting sqref="O334">
    <cfRule type="cellIs" dxfId="419" priority="86" operator="lessThan">
      <formula>0</formula>
    </cfRule>
  </conditionalFormatting>
  <conditionalFormatting sqref="O335">
    <cfRule type="cellIs" dxfId="418" priority="80" operator="greaterThan">
      <formula>0</formula>
    </cfRule>
    <cfRule type="aboveAverage" dxfId="417" priority="89" aboveAverage="0"/>
    <cfRule type="cellIs" dxfId="416" priority="85" operator="greaterThan">
      <formula>0</formula>
    </cfRule>
    <cfRule type="cellIs" dxfId="415" priority="84" operator="lessThan">
      <formula>0</formula>
    </cfRule>
  </conditionalFormatting>
  <conditionalFormatting sqref="P86">
    <cfRule type="cellIs" dxfId="414" priority="101" operator="lessThan">
      <formula>0</formula>
    </cfRule>
  </conditionalFormatting>
  <conditionalFormatting sqref="P237 P334">
    <cfRule type="cellIs" dxfId="413" priority="109" operator="greaterThan">
      <formula>0</formula>
    </cfRule>
  </conditionalFormatting>
  <conditionalFormatting sqref="P237">
    <cfRule type="cellIs" dxfId="412" priority="103" operator="greaterThan">
      <formula>0</formula>
    </cfRule>
    <cfRule type="cellIs" dxfId="411" priority="104" operator="lessThan">
      <formula>0</formula>
    </cfRule>
  </conditionalFormatting>
  <conditionalFormatting sqref="P334">
    <cfRule type="cellIs" dxfId="410" priority="108" operator="lessThan">
      <formula>0</formula>
    </cfRule>
  </conditionalFormatting>
  <conditionalFormatting sqref="P335">
    <cfRule type="cellIs" dxfId="409" priority="102" operator="greaterThan">
      <formula>0</formula>
    </cfRule>
    <cfRule type="cellIs" dxfId="408" priority="106" operator="lessThan">
      <formula>0</formula>
    </cfRule>
    <cfRule type="cellIs" dxfId="407" priority="107" operator="greaterThan">
      <formula>0</formula>
    </cfRule>
    <cfRule type="aboveAverage" dxfId="406" priority="111" aboveAverage="0"/>
  </conditionalFormatting>
  <conditionalFormatting sqref="Q86">
    <cfRule type="cellIs" dxfId="405" priority="90" operator="lessThan">
      <formula>0</formula>
    </cfRule>
  </conditionalFormatting>
  <conditionalFormatting sqref="Q237 Q334">
    <cfRule type="cellIs" dxfId="404" priority="98" operator="greaterThan">
      <formula>0</formula>
    </cfRule>
  </conditionalFormatting>
  <conditionalFormatting sqref="Q237">
    <cfRule type="cellIs" dxfId="403" priority="92" operator="greaterThan">
      <formula>0</formula>
    </cfRule>
    <cfRule type="cellIs" dxfId="402" priority="93" operator="lessThan">
      <formula>0</formula>
    </cfRule>
  </conditionalFormatting>
  <conditionalFormatting sqref="Q334">
    <cfRule type="cellIs" dxfId="401" priority="97" operator="lessThan">
      <formula>0</formula>
    </cfRule>
  </conditionalFormatting>
  <conditionalFormatting sqref="Q335">
    <cfRule type="cellIs" dxfId="400" priority="91" operator="greaterThan">
      <formula>0</formula>
    </cfRule>
    <cfRule type="cellIs" dxfId="399" priority="95" operator="lessThan">
      <formula>0</formula>
    </cfRule>
    <cfRule type="cellIs" dxfId="398" priority="96" operator="greaterThan">
      <formula>0</formula>
    </cfRule>
    <cfRule type="aboveAverage" dxfId="397" priority="100" aboveAverage="0"/>
  </conditionalFormatting>
  <conditionalFormatting sqref="R27:R335">
    <cfRule type="iconSet" priority="112">
      <iconSet iconSet="3Arrows">
        <cfvo type="percent" val="0"/>
        <cfvo type="percent" val="$R$27&lt;=0"/>
        <cfvo type="percent" val="$R$27&gt;=0"/>
      </iconSet>
    </cfRule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96" priority="114" operator="containsText" text="FALSO">
      <formula>NOT(ISERROR(SEARCH("FALSO",R27)))</formula>
    </cfRule>
    <cfRule type="containsText" dxfId="395" priority="115" operator="containsText" text="VERDADEIRO">
      <formula>NOT(ISERROR(SEARCH("VERDADEIRO",R27)))</formula>
    </cfRule>
    <cfRule type="iconSet" priority="116">
      <iconSet iconSet="3Arrows">
        <cfvo type="percent" val="0"/>
        <cfvo type="percent" val="0"/>
        <cfvo type="percent" val="0"/>
      </iconSet>
    </cfRule>
    <cfRule type="iconSet" priority="117">
      <iconSet>
        <cfvo type="percent" val="0"/>
        <cfvo type="percent" val="33"/>
        <cfvo type="percent" val="67"/>
      </iconSet>
    </cfRule>
  </conditionalFormatting>
  <conditionalFormatting sqref="T335">
    <cfRule type="aboveAverage" dxfId="394" priority="9" aboveAverage="0"/>
  </conditionalFormatting>
  <conditionalFormatting sqref="T86:U86">
    <cfRule type="cellIs" dxfId="393" priority="1" operator="lessThan">
      <formula>0</formula>
    </cfRule>
  </conditionalFormatting>
  <conditionalFormatting sqref="T237:U237 T334:U334">
    <cfRule type="cellIs" dxfId="392" priority="8" operator="greaterThan">
      <formula>0</formula>
    </cfRule>
  </conditionalFormatting>
  <conditionalFormatting sqref="T237:U237">
    <cfRule type="cellIs" dxfId="391" priority="3" operator="greaterThan">
      <formula>0</formula>
    </cfRule>
    <cfRule type="cellIs" dxfId="390" priority="4" operator="lessThan">
      <formula>0</formula>
    </cfRule>
  </conditionalFormatting>
  <conditionalFormatting sqref="T334:U334">
    <cfRule type="cellIs" dxfId="389" priority="7" operator="lessThan">
      <formula>0</formula>
    </cfRule>
  </conditionalFormatting>
  <conditionalFormatting sqref="T335:U335">
    <cfRule type="cellIs" dxfId="388" priority="2" operator="greaterThan">
      <formula>0</formula>
    </cfRule>
    <cfRule type="cellIs" dxfId="387" priority="6" operator="greaterThan">
      <formula>0</formula>
    </cfRule>
    <cfRule type="cellIs" dxfId="386" priority="5" operator="lessThan">
      <formula>0</formula>
    </cfRule>
  </conditionalFormatting>
  <conditionalFormatting sqref="U335">
    <cfRule type="aboveAverage" dxfId="385" priority="18" aboveAverage="0"/>
  </conditionalFormatting>
  <pageMargins left="0.23622047244094491" right="0.23622047244094491" top="0.74803149606299213" bottom="0.74803149606299213" header="0.31496062992125984" footer="0.31496062992125984"/>
  <pageSetup paperSize="9" scale="36" fitToWidth="5" fitToHeight="3" orientation="landscape" r:id="rId1"/>
  <rowBreaks count="3" manualBreakCount="3">
    <brk id="86" max="16383" man="1"/>
    <brk id="181" min="1" max="16" man="1"/>
    <brk id="237" min="1" max="16" man="1"/>
  </rowBreaks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AA2D-0DA5-4D88-A0B3-8946318403D7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140625" customWidth="1"/>
    <col min="8" max="8" width="21.7109375" style="246" customWidth="1"/>
    <col min="9" max="9" width="21.710937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154</v>
      </c>
      <c r="D1" s="410" t="s">
        <v>314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SUM(D3:D26)</f>
        <v>0</v>
      </c>
      <c r="E2" s="307"/>
      <c r="F2" s="31"/>
      <c r="H2" s="285"/>
    </row>
    <row r="3" spans="1:10" x14ac:dyDescent="0.25">
      <c r="B3" s="413" t="str">
        <f>Fluxo_de_Caixa_Janeiro[[#This Row],[Fluxo de Caixa 2026 CTR]]</f>
        <v>1.0 - TESOURARIA MATRIZ PALMAS</v>
      </c>
      <c r="C3" s="62">
        <f>JUNHO!C337</f>
        <v>0</v>
      </c>
      <c r="D3" s="414" t="str">
        <f>IF(C3=0,"0,00%",C3/$C$2)</f>
        <v>0,00%</v>
      </c>
      <c r="E3" s="66"/>
      <c r="F3" s="31"/>
    </row>
    <row r="4" spans="1:10" x14ac:dyDescent="0.25">
      <c r="B4" s="413" t="str">
        <f>Fluxo_de_Caixa_Janeiro[[#This Row],[Fluxo de Caixa 2026 CTR]]</f>
        <v>1.1 - BANCO DO BRASIL C.C.60409-7 MATRIZ</v>
      </c>
      <c r="C4" s="62">
        <f>JUNHO!C338</f>
        <v>0</v>
      </c>
      <c r="D4" s="414" t="str">
        <f t="shared" ref="D4:D26" si="0">IF(C4=0,"0,00%",C4/$C$2)</f>
        <v>0,00%</v>
      </c>
      <c r="E4" s="66"/>
      <c r="F4" s="31"/>
    </row>
    <row r="5" spans="1:10" hidden="1" x14ac:dyDescent="0.25">
      <c r="B5" s="413">
        <f>Fluxo_de_Caixa_Janeiro[[#This Row],[Fluxo de Caixa 2026 CTR]]</f>
        <v>0</v>
      </c>
      <c r="C5" s="62">
        <f>JUNHO!C339</f>
        <v>0</v>
      </c>
      <c r="D5" s="414" t="str">
        <f t="shared" si="0"/>
        <v>0,00%</v>
      </c>
      <c r="E5" s="66"/>
      <c r="F5" s="31"/>
    </row>
    <row r="6" spans="1:10" x14ac:dyDescent="0.25">
      <c r="B6" s="413" t="str">
        <f>Fluxo_de_Caixa_Janeiro[[#This Row],[Fluxo de Caixa 2026 CTR]]</f>
        <v>1.2-BRADESCO 15232-3 MATRIZ</v>
      </c>
      <c r="C6" s="62">
        <f>JUNHO!C340</f>
        <v>0</v>
      </c>
      <c r="D6" s="414" t="str">
        <f t="shared" si="0"/>
        <v>0,00%</v>
      </c>
      <c r="E6" s="66"/>
      <c r="F6" s="31"/>
    </row>
    <row r="7" spans="1:10" hidden="1" x14ac:dyDescent="0.25">
      <c r="B7" s="413">
        <f>Fluxo_de_Caixa_Janeiro[[#This Row],[Fluxo de Caixa 2026 CTR]]</f>
        <v>0</v>
      </c>
      <c r="C7" s="62">
        <f>JUNHO!C341</f>
        <v>0</v>
      </c>
      <c r="D7" s="414" t="str">
        <f t="shared" si="0"/>
        <v>0,00%</v>
      </c>
      <c r="E7" s="66"/>
      <c r="F7" s="31"/>
    </row>
    <row r="8" spans="1:10" x14ac:dyDescent="0.25">
      <c r="B8" s="413" t="str">
        <f>Fluxo_de_Caixa_Janeiro[[#This Row],[Fluxo de Caixa 2026 CTR]]</f>
        <v>1.3 - BANCO STONE MATRIZ C.C 40256726-7</v>
      </c>
      <c r="C8" s="62">
        <f>JUNHO!C342</f>
        <v>0</v>
      </c>
      <c r="D8" s="414" t="str">
        <f t="shared" si="0"/>
        <v>0,00%</v>
      </c>
      <c r="E8" s="66"/>
      <c r="F8" s="31"/>
    </row>
    <row r="9" spans="1:10" hidden="1" x14ac:dyDescent="0.25">
      <c r="B9" s="413" t="str">
        <f>Fluxo_de_Caixa_Janeiro[[#This Row],[Fluxo de Caixa 2026 CTR]]</f>
        <v>1.4 - BANCO DA AMAZONIA 071730-7 MATRIZ</v>
      </c>
      <c r="C9" s="62">
        <f>JUNHO!C343</f>
        <v>0</v>
      </c>
      <c r="D9" s="414" t="str">
        <f t="shared" si="0"/>
        <v>0,00%</v>
      </c>
      <c r="E9" s="66"/>
      <c r="F9" s="31"/>
    </row>
    <row r="10" spans="1:10" x14ac:dyDescent="0.25">
      <c r="B10" s="413" t="str">
        <f>Fluxo_de_Caixa_Janeiro[[#This Row],[Fluxo de Caixa 2026 CTR]]</f>
        <v>1.4.1.INVESTIMENTO CDBORE RCP TXFL</v>
      </c>
      <c r="C10" s="62">
        <f>JUNHO!C344</f>
        <v>0</v>
      </c>
      <c r="D10" s="414" t="str">
        <f t="shared" si="0"/>
        <v>0,00%</v>
      </c>
      <c r="E10" s="66"/>
      <c r="F10" s="31"/>
    </row>
    <row r="11" spans="1:10" x14ac:dyDescent="0.25">
      <c r="B11" s="413" t="str">
        <f>Fluxo_de_Caixa_Janeiro[[#This Row],[Fluxo de Caixa 2026 CTR]]</f>
        <v>1.5 -  ITAU C.C.98671-6 MATRIZ</v>
      </c>
      <c r="C11" s="62">
        <f>JUNHO!C345</f>
        <v>0</v>
      </c>
      <c r="D11" s="414" t="str">
        <f t="shared" si="0"/>
        <v>0,00%</v>
      </c>
      <c r="E11" s="66"/>
      <c r="F11" s="31"/>
    </row>
    <row r="12" spans="1:10" x14ac:dyDescent="0.25">
      <c r="B12" s="413" t="str">
        <f>Fluxo_de_Caixa_Janeiro[[#This Row],[Fluxo de Caixa 2026 CTR]]</f>
        <v>1.5.03. ITAU C.C 83290-2 GARANTIDA</v>
      </c>
      <c r="C12" s="62">
        <f>JUNHO!C346</f>
        <v>0</v>
      </c>
      <c r="D12" s="414" t="str">
        <f t="shared" si="0"/>
        <v>0,00%</v>
      </c>
      <c r="E12" s="66"/>
      <c r="F12" s="31"/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JUNHO!C347</f>
        <v>0</v>
      </c>
      <c r="D13" s="414" t="str">
        <f t="shared" si="0"/>
        <v>0,00%</v>
      </c>
      <c r="E13" s="66"/>
      <c r="F13" s="31"/>
    </row>
    <row r="14" spans="1:10" x14ac:dyDescent="0.25">
      <c r="B14" s="413">
        <f>Fluxo_de_Caixa_Janeiro[[#This Row],[Fluxo de Caixa 2026 CTR]]</f>
        <v>0</v>
      </c>
      <c r="C14" s="62">
        <f>JUNHO!C348</f>
        <v>0</v>
      </c>
      <c r="D14" s="414" t="str">
        <f t="shared" si="0"/>
        <v>0,00%</v>
      </c>
      <c r="E14" s="66"/>
      <c r="F14" s="31"/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JUNHO!C349</f>
        <v>0</v>
      </c>
      <c r="D15" s="414" t="str">
        <f t="shared" si="0"/>
        <v>0,00%</v>
      </c>
      <c r="E15" s="66"/>
      <c r="F15" s="31"/>
    </row>
    <row r="16" spans="1:10" x14ac:dyDescent="0.25">
      <c r="B16" s="413">
        <f>Fluxo_de_Caixa_Janeiro[[#This Row],[Fluxo de Caixa 2026 CTR]]</f>
        <v>0</v>
      </c>
      <c r="C16" s="62">
        <f>JUNHO!C350</f>
        <v>0</v>
      </c>
      <c r="D16" s="414" t="str">
        <f t="shared" si="0"/>
        <v>0,00%</v>
      </c>
      <c r="E16" s="66"/>
      <c r="F16" s="31"/>
    </row>
    <row r="17" spans="1:10" ht="15.75" thickBot="1" x14ac:dyDescent="0.3">
      <c r="B17" s="413">
        <f>Fluxo_de_Caixa_Janeiro[[#This Row],[Fluxo de Caixa 2026 CTR]]</f>
        <v>0</v>
      </c>
      <c r="C17" s="62">
        <f>JUNHO!C351</f>
        <v>0</v>
      </c>
      <c r="D17" s="414" t="str">
        <f t="shared" si="0"/>
        <v>0,00%</v>
      </c>
      <c r="E17" s="67"/>
      <c r="F17" s="31"/>
    </row>
    <row r="18" spans="1:10" x14ac:dyDescent="0.25">
      <c r="B18" s="413" t="str">
        <f>Fluxo_de_Caixa_Janeiro[[#This Row],[Fluxo de Caixa 2026 CTR]]</f>
        <v>2.4 - ITAU C.C.98669-0 FILIAL PALMAS</v>
      </c>
      <c r="C18" s="62">
        <f>JUNHO!C352</f>
        <v>0</v>
      </c>
      <c r="D18" s="414" t="str">
        <f t="shared" si="0"/>
        <v>0,00%</v>
      </c>
      <c r="E18" s="617" t="e">
        <f>#REF!</f>
        <v>#REF!</v>
      </c>
      <c r="F18" s="31"/>
    </row>
    <row r="19" spans="1:10" x14ac:dyDescent="0.25">
      <c r="B19" s="413" t="str">
        <f>Fluxo_de_Caixa_Janeiro[[#This Row],[Fluxo de Caixa 2026 CTR]]</f>
        <v>2.9 - CONTA PERDA/ROUBO E BONIFICAÇÃO FILIAL</v>
      </c>
      <c r="C19" s="62">
        <f>JUNHO!C353</f>
        <v>0</v>
      </c>
      <c r="D19" s="414" t="str">
        <f t="shared" si="0"/>
        <v>0,00%</v>
      </c>
      <c r="E19" s="617" t="e">
        <f>#REF!</f>
        <v>#REF!</v>
      </c>
      <c r="F19" s="31"/>
    </row>
    <row r="20" spans="1:10" x14ac:dyDescent="0.25">
      <c r="B20" s="413" t="str">
        <f>Fluxo_de_Caixa_Janeiro[[#This Row],[Fluxo de Caixa 2026 CTR]]</f>
        <v>4.0 - TESOURARIA FILIAL PORTO</v>
      </c>
      <c r="C20" s="62">
        <f>JUNHO!C354</f>
        <v>0</v>
      </c>
      <c r="D20" s="414" t="str">
        <f t="shared" si="0"/>
        <v>0,00%</v>
      </c>
      <c r="E20" s="617" t="e">
        <f>#REF!</f>
        <v>#REF!</v>
      </c>
      <c r="F20" s="31"/>
    </row>
    <row r="21" spans="1:10" x14ac:dyDescent="0.25">
      <c r="B21" s="413" t="str">
        <f>Fluxo_de_Caixa_Janeiro[[#This Row],[Fluxo de Caixa 2026 CTR]]</f>
        <v>4.1 -  BANCO DO BRASIL C.C.61105-0 FILIAL PORTO</v>
      </c>
      <c r="C21" s="62">
        <f>JUNHO!C355</f>
        <v>0</v>
      </c>
      <c r="D21" s="414" t="str">
        <f t="shared" si="0"/>
        <v>0,00%</v>
      </c>
      <c r="E21" s="617" t="e">
        <f>#REF!</f>
        <v>#REF!</v>
      </c>
      <c r="F21" s="31"/>
    </row>
    <row r="22" spans="1:10" hidden="1" x14ac:dyDescent="0.25">
      <c r="B22" s="413">
        <f>Fluxo_de_Caixa_Janeiro[[#This Row],[Fluxo de Caixa 2026 CTR]]</f>
        <v>0</v>
      </c>
      <c r="C22" s="62">
        <f>JUNHO!C356</f>
        <v>0</v>
      </c>
      <c r="D22" s="414" t="str">
        <f t="shared" si="0"/>
        <v>0,00%</v>
      </c>
      <c r="E22" s="617" t="e">
        <f>#REF!</f>
        <v>#REF!</v>
      </c>
      <c r="F22" s="31"/>
    </row>
    <row r="23" spans="1:10" x14ac:dyDescent="0.25">
      <c r="B23" s="413" t="str">
        <f>Fluxo_de_Caixa_Janeiro[[#This Row],[Fluxo de Caixa 2026 CTR]]</f>
        <v>4.4 - MERCADO PAGO PIX FILIAL PORTO</v>
      </c>
      <c r="C23" s="62">
        <f>JUNHO!C357</f>
        <v>0</v>
      </c>
      <c r="D23" s="414" t="str">
        <f t="shared" si="0"/>
        <v>0,00%</v>
      </c>
      <c r="E23" s="617" t="e">
        <f>#REF!</f>
        <v>#REF!</v>
      </c>
      <c r="F23" s="31"/>
    </row>
    <row r="24" spans="1:10" x14ac:dyDescent="0.25">
      <c r="B24" s="413" t="str">
        <f>Fluxo_de_Caixa_Janeiro[[#This Row],[Fluxo de Caixa 2026 CTR]]</f>
        <v>4.9 - CONTA PERDA/ROUBO E BONIFICAÇÃO FILIAL</v>
      </c>
      <c r="C24" s="62">
        <f>JUNHO!C358</f>
        <v>0</v>
      </c>
      <c r="D24" s="414" t="str">
        <f t="shared" si="0"/>
        <v>0,00%</v>
      </c>
      <c r="E24" s="617" t="e">
        <f>#REF!</f>
        <v>#REF!</v>
      </c>
      <c r="F24" s="31"/>
    </row>
    <row r="25" spans="1:10" x14ac:dyDescent="0.25">
      <c r="B25" s="413" t="str">
        <f>Fluxo_de_Caixa_Janeiro[[#This Row],[Fluxo de Caixa 2026 CTR]]</f>
        <v>91.CARTÃO ENDERED 5099+4596+6933+8072 - ESCRITORIO</v>
      </c>
      <c r="C25" s="62">
        <f>JUNHO!C359</f>
        <v>0</v>
      </c>
      <c r="D25" s="414" t="str">
        <f t="shared" si="0"/>
        <v>0,00%</v>
      </c>
      <c r="E25" s="617" t="e">
        <f>#REF!</f>
        <v>#REF!</v>
      </c>
      <c r="F25" s="31"/>
    </row>
    <row r="26" spans="1:10" hidden="1" x14ac:dyDescent="0.25">
      <c r="B26" s="413">
        <f>Fluxo_de_Caixa_Janeiro[[#This Row],[Fluxo de Caixa 2026 CTR]]</f>
        <v>0</v>
      </c>
      <c r="C26" s="62">
        <f>JUNHO!C360</f>
        <v>0</v>
      </c>
      <c r="D26" s="414" t="str">
        <f t="shared" si="0"/>
        <v>0,00%</v>
      </c>
      <c r="E26" s="617" t="e">
        <f>#REF!</f>
        <v>#REF!</v>
      </c>
      <c r="F26" s="31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25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25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6"/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25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25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25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25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25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7" si="9">H90+I90+J90</f>
        <v>0</v>
      </c>
      <c r="D90" s="438" t="str">
        <f t="shared" ref="D90:D99" si="10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9"/>
        <v>0</v>
      </c>
      <c r="D91" s="438" t="str">
        <f t="shared" si="10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 t="str">
        <f t="shared" si="10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9"/>
        <v>0</v>
      </c>
      <c r="D93" s="438" t="str">
        <f t="shared" si="10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9"/>
        <v>0</v>
      </c>
      <c r="D94" s="438" t="str">
        <f t="shared" si="10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9"/>
        <v>0</v>
      </c>
      <c r="D95" s="438" t="str">
        <f t="shared" si="10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 t="str">
        <f t="shared" si="10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 t="str">
        <f t="shared" si="10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hidden="1" x14ac:dyDescent="0.25">
      <c r="B98" s="437" t="str">
        <f>Fluxo_de_Caixa_Janeiro[[#This Row],[Fluxo de Caixa 2026 CTR]]</f>
        <v>3.1.10. TARIFA PIX RECEBIDO</v>
      </c>
      <c r="C98" s="62"/>
      <c r="D98" s="438" t="str">
        <f t="shared" si="10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25">
      <c r="B99" s="437">
        <f>Fluxo_de_Caixa_Janeiro[[#This Row],[Fluxo de Caixa 2026 CTR]]</f>
        <v>0</v>
      </c>
      <c r="C99" s="62"/>
      <c r="D99" s="438" t="str">
        <f t="shared" si="10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44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25">
      <c r="B140" s="437" t="str">
        <f>Fluxo_de_Caixa_Janeiro[[#This Row],[Fluxo de Caixa 2026 CTR]]</f>
        <v>3.3.09. Viagens e Estadias - CPD</v>
      </c>
      <c r="C140" s="62">
        <f t="shared" si="14"/>
        <v>0</v>
      </c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>
        <f t="shared" si="14"/>
        <v>0</v>
      </c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>
        <f t="shared" si="14"/>
        <v>0</v>
      </c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>
        <f t="shared" si="14"/>
        <v>0</v>
      </c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>
        <f t="shared" si="14"/>
        <v>0</v>
      </c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25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4.2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SUM(D337:D351)</f>
        <v>0</v>
      </c>
      <c r="E336" s="336">
        <v>1</v>
      </c>
      <c r="F336" s="34"/>
      <c r="I336" s="246"/>
    </row>
    <row r="337" spans="2:9" x14ac:dyDescent="0.25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25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60" si="38">C4</f>
        <v>0</v>
      </c>
      <c r="I338" s="246"/>
    </row>
    <row r="339" spans="2:9" hidden="1" x14ac:dyDescent="0.25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25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0</v>
      </c>
      <c r="I340" s="246"/>
    </row>
    <row r="341" spans="2:9" hidden="1" x14ac:dyDescent="0.25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25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hidden="1" x14ac:dyDescent="0.25">
      <c r="B343" s="413" t="str">
        <f>Fluxo_de_Caixa_Janeiro[[#This Row],[Fluxo de Caixa 2026 CTR]]</f>
        <v>1.4 - BANCO DA AMAZONIA 071730-7 MATRIZ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0</v>
      </c>
      <c r="I343" s="246"/>
    </row>
    <row r="344" spans="2:9" x14ac:dyDescent="0.25">
      <c r="B344" s="413" t="str">
        <f>Fluxo_de_Caixa_Janeiro[[#This Row],[Fluxo de Caixa 2026 CTR]]</f>
        <v>1.4.1.INVESTIMENTO CDBORE RCP TXFL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0</v>
      </c>
      <c r="I344" s="246"/>
    </row>
    <row r="345" spans="2:9" x14ac:dyDescent="0.25">
      <c r="B345" s="413" t="str">
        <f>Fluxo_de_Caixa_Janeiro[[#This Row],[Fluxo de Caixa 2026 CTR]]</f>
        <v>1.5 -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0</v>
      </c>
      <c r="I345" s="246"/>
    </row>
    <row r="346" spans="2:9" x14ac:dyDescent="0.25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25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0</v>
      </c>
      <c r="I347" s="246"/>
    </row>
    <row r="348" spans="2:9" x14ac:dyDescent="0.25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25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0</v>
      </c>
      <c r="I349" s="246"/>
    </row>
    <row r="350" spans="2:9" x14ac:dyDescent="0.25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25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x14ac:dyDescent="0.25">
      <c r="B352" s="413" t="str">
        <f>Fluxo_de_Caixa_Janeiro[[#This Row],[Fluxo de Caixa 2026 CTR]]</f>
        <v>2.4 - ITAU C.C.98669-0 FILIAL PALMAS</v>
      </c>
      <c r="C352" s="62"/>
      <c r="D352" s="414" t="str">
        <f t="shared" si="37"/>
        <v>0,00%</v>
      </c>
      <c r="E352" s="617" t="e">
        <f>#REF!</f>
        <v>#REF!</v>
      </c>
      <c r="H352" s="246">
        <f t="shared" si="38"/>
        <v>0</v>
      </c>
      <c r="I352" s="246"/>
    </row>
    <row r="353" spans="2:9" x14ac:dyDescent="0.25">
      <c r="B353" s="413" t="str">
        <f>Fluxo_de_Caixa_Janeiro[[#This Row],[Fluxo de Caixa 2026 CTR]]</f>
        <v>2.9 - CONTA PERDA/ROUBO E BONIFICAÇÃO FILIAL</v>
      </c>
      <c r="C353" s="62"/>
      <c r="D353" s="414" t="str">
        <f t="shared" si="37"/>
        <v>0,00%</v>
      </c>
      <c r="E353" s="617" t="e">
        <f>#REF!</f>
        <v>#REF!</v>
      </c>
      <c r="H353" s="246">
        <f t="shared" si="38"/>
        <v>0</v>
      </c>
      <c r="I353" s="246"/>
    </row>
    <row r="354" spans="2:9" x14ac:dyDescent="0.25">
      <c r="B354" s="413" t="str">
        <f>Fluxo_de_Caixa_Janeiro[[#This Row],[Fluxo de Caixa 2026 CTR]]</f>
        <v>4.0 - TESOURARIA FILIAL PORTO</v>
      </c>
      <c r="C354" s="62"/>
      <c r="D354" s="414" t="str">
        <f t="shared" si="37"/>
        <v>0,00%</v>
      </c>
      <c r="E354" s="617" t="e">
        <f>#REF!</f>
        <v>#REF!</v>
      </c>
      <c r="H354" s="246">
        <f t="shared" si="38"/>
        <v>0</v>
      </c>
      <c r="I354" s="246"/>
    </row>
    <row r="355" spans="2:9" x14ac:dyDescent="0.25">
      <c r="B355" s="413" t="str">
        <f>Fluxo_de_Caixa_Janeiro[[#This Row],[Fluxo de Caixa 2026 CTR]]</f>
        <v>4.1 -  BANCO DO BRASIL C.C.61105-0 FILIAL PORTO</v>
      </c>
      <c r="C355" s="62"/>
      <c r="D355" s="414" t="str">
        <f t="shared" si="37"/>
        <v>0,00%</v>
      </c>
      <c r="E355" s="617" t="e">
        <f>#REF!</f>
        <v>#REF!</v>
      </c>
      <c r="H355" s="246">
        <f t="shared" si="38"/>
        <v>0</v>
      </c>
      <c r="I355" s="246"/>
    </row>
    <row r="356" spans="2:9" hidden="1" x14ac:dyDescent="0.25">
      <c r="B356" s="413">
        <f>Fluxo_de_Caixa_Janeiro[[#This Row],[Fluxo de Caixa 2026 CTR]]</f>
        <v>0</v>
      </c>
      <c r="C356" s="62"/>
      <c r="D356" s="414" t="str">
        <f t="shared" si="37"/>
        <v>0,00%</v>
      </c>
      <c r="E356" s="617" t="e">
        <f>#REF!</f>
        <v>#REF!</v>
      </c>
      <c r="H356" s="246">
        <f t="shared" si="38"/>
        <v>0</v>
      </c>
      <c r="I356" s="246"/>
    </row>
    <row r="357" spans="2:9" x14ac:dyDescent="0.25">
      <c r="B357" s="413" t="str">
        <f>Fluxo_de_Caixa_Janeiro[[#This Row],[Fluxo de Caixa 2026 CTR]]</f>
        <v>4.4 - MERCADO PAGO PIX FILIAL PORTO</v>
      </c>
      <c r="C357" s="62"/>
      <c r="D357" s="414" t="str">
        <f t="shared" si="37"/>
        <v>0,00%</v>
      </c>
      <c r="E357" s="617" t="e">
        <f>#REF!</f>
        <v>#REF!</v>
      </c>
      <c r="H357" s="246">
        <f t="shared" si="38"/>
        <v>0</v>
      </c>
      <c r="I357" s="246"/>
    </row>
    <row r="358" spans="2:9" x14ac:dyDescent="0.25">
      <c r="B358" s="413" t="str">
        <f>Fluxo_de_Caixa_Janeiro[[#This Row],[Fluxo de Caixa 2026 CTR]]</f>
        <v>4.9 - CONTA PERDA/ROUBO E BONIFICAÇÃO FILIAL</v>
      </c>
      <c r="C358" s="62"/>
      <c r="D358" s="414" t="str">
        <f t="shared" si="37"/>
        <v>0,00%</v>
      </c>
      <c r="E358" s="617" t="e">
        <f>#REF!</f>
        <v>#REF!</v>
      </c>
      <c r="H358" s="246">
        <f t="shared" si="38"/>
        <v>0</v>
      </c>
      <c r="I358" s="246"/>
    </row>
    <row r="359" spans="2:9" x14ac:dyDescent="0.25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7"/>
        <v>0,00%</v>
      </c>
      <c r="E359" s="617" t="e">
        <f>#REF!</f>
        <v>#REF!</v>
      </c>
      <c r="H359" s="246">
        <f>C25</f>
        <v>0</v>
      </c>
      <c r="I359" s="246"/>
    </row>
    <row r="360" spans="2:9" hidden="1" x14ac:dyDescent="0.25">
      <c r="B360" s="413">
        <f>Fluxo_de_Caixa_Janeiro[[#This Row],[Fluxo de Caixa 2026 CTR]]</f>
        <v>0</v>
      </c>
      <c r="C360" s="62"/>
      <c r="D360" s="414" t="str">
        <f t="shared" si="37"/>
        <v>0,00%</v>
      </c>
      <c r="E360" s="617" t="e">
        <f>#REF!</f>
        <v>#REF!</v>
      </c>
      <c r="H360" s="246">
        <f t="shared" si="38"/>
        <v>0</v>
      </c>
      <c r="I360" s="246"/>
    </row>
    <row r="361" spans="2:9" ht="24" thickBot="1" x14ac:dyDescent="0.4">
      <c r="B361" s="463"/>
      <c r="C361" s="464">
        <f>SUM(C337:C360)-C335</f>
        <v>0</v>
      </c>
      <c r="D361" s="465" t="str">
        <f>IFERROR(C361/C336,"0,00%")</f>
        <v>0,00%</v>
      </c>
      <c r="E361" s="338" t="e">
        <f>#REF!</f>
        <v>#REF!</v>
      </c>
      <c r="I361" s="246"/>
    </row>
    <row r="362" spans="2:9" x14ac:dyDescent="0.25"/>
    <row r="363" spans="2:9" x14ac:dyDescent="0.25"/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1" x14ac:dyDescent="0.25"/>
    <row r="382" x14ac:dyDescent="0.25"/>
    <row r="383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2" x14ac:dyDescent="0.25"/>
    <row r="393" x14ac:dyDescent="0.25"/>
    <row r="394" x14ac:dyDescent="0.25"/>
    <row r="395" x14ac:dyDescent="0.25"/>
    <row r="397" x14ac:dyDescent="0.25"/>
    <row r="398" x14ac:dyDescent="0.25"/>
    <row r="399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</sheetData>
  <protectedRanges>
    <protectedRange sqref="C3:C26" name="Intervalo1"/>
    <protectedRange sqref="C344:C360" name="Saldo Final de Banco"/>
    <protectedRange sqref="C337:C343" name="Saldo Final de Banco_1"/>
  </protectedRanges>
  <conditionalFormatting sqref="C86">
    <cfRule type="cellIs" dxfId="384" priority="1" operator="lessThan">
      <formula>0</formula>
    </cfRule>
  </conditionalFormatting>
  <conditionalFormatting sqref="C237">
    <cfRule type="cellIs" dxfId="383" priority="2" operator="greaterThan">
      <formula>0</formula>
    </cfRule>
    <cfRule type="cellIs" dxfId="382" priority="3" operator="lessThan">
      <formula>0</formula>
    </cfRule>
    <cfRule type="cellIs" dxfId="381" priority="4" operator="greaterThan">
      <formula>0</formula>
    </cfRule>
  </conditionalFormatting>
  <conditionalFormatting sqref="C334">
    <cfRule type="cellIs" dxfId="380" priority="5" operator="lessThan">
      <formula>0</formula>
    </cfRule>
    <cfRule type="cellIs" dxfId="379" priority="6" operator="greaterThan">
      <formula>0</formula>
    </cfRule>
  </conditionalFormatting>
  <conditionalFormatting sqref="C335">
    <cfRule type="cellIs" dxfId="378" priority="7" operator="lessThan">
      <formula>0</formula>
    </cfRule>
    <cfRule type="cellIs" dxfId="377" priority="8" operator="greaterThan">
      <formula>0.001</formula>
    </cfRule>
    <cfRule type="cellIs" dxfId="376" priority="9" operator="lessThan">
      <formula>0</formula>
    </cfRule>
    <cfRule type="cellIs" dxfId="375" priority="10" operator="greaterThan">
      <formula>0</formula>
    </cfRule>
    <cfRule type="aboveAverage" dxfId="374" priority="11" aboveAverage="0"/>
  </conditionalFormatting>
  <conditionalFormatting sqref="D86">
    <cfRule type="cellIs" dxfId="373" priority="29" operator="lessThan">
      <formula>0</formula>
    </cfRule>
  </conditionalFormatting>
  <conditionalFormatting sqref="D237 D334">
    <cfRule type="cellIs" dxfId="372" priority="36" operator="greaterThan">
      <formula>0</formula>
    </cfRule>
  </conditionalFormatting>
  <conditionalFormatting sqref="D237">
    <cfRule type="cellIs" dxfId="371" priority="32" operator="lessThan">
      <formula>0</formula>
    </cfRule>
    <cfRule type="cellIs" dxfId="370" priority="31" operator="greaterThan">
      <formula>0</formula>
    </cfRule>
  </conditionalFormatting>
  <conditionalFormatting sqref="D334">
    <cfRule type="cellIs" dxfId="369" priority="35" operator="lessThan">
      <formula>0</formula>
    </cfRule>
  </conditionalFormatting>
  <conditionalFormatting sqref="D335">
    <cfRule type="cellIs" dxfId="368" priority="34" operator="greaterThan">
      <formula>0</formula>
    </cfRule>
    <cfRule type="cellIs" dxfId="367" priority="33" operator="lessThan">
      <formula>0</formula>
    </cfRule>
    <cfRule type="cellIs" dxfId="366" priority="30" operator="greaterThan">
      <formula>0</formula>
    </cfRule>
    <cfRule type="aboveAverage" dxfId="365" priority="37" aboveAverage="0"/>
  </conditionalFormatting>
  <conditionalFormatting sqref="E86">
    <cfRule type="cellIs" dxfId="364" priority="20" operator="lessThan">
      <formula>0</formula>
    </cfRule>
  </conditionalFormatting>
  <conditionalFormatting sqref="E237 E334">
    <cfRule type="cellIs" dxfId="363" priority="27" operator="greaterThan">
      <formula>0</formula>
    </cfRule>
  </conditionalFormatting>
  <conditionalFormatting sqref="E237">
    <cfRule type="cellIs" dxfId="362" priority="23" operator="lessThan">
      <formula>0</formula>
    </cfRule>
    <cfRule type="cellIs" dxfId="361" priority="22" operator="greaterThan">
      <formula>0</formula>
    </cfRule>
  </conditionalFormatting>
  <conditionalFormatting sqref="E334">
    <cfRule type="cellIs" dxfId="360" priority="26" operator="lessThan">
      <formula>0</formula>
    </cfRule>
  </conditionalFormatting>
  <conditionalFormatting sqref="E335">
    <cfRule type="aboveAverage" dxfId="359" priority="28" aboveAverage="0"/>
    <cfRule type="cellIs" dxfId="358" priority="21" operator="greaterThan">
      <formula>0</formula>
    </cfRule>
    <cfRule type="cellIs" dxfId="357" priority="24" operator="lessThan">
      <formula>0</formula>
    </cfRule>
    <cfRule type="cellIs" dxfId="356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5" priority="101" operator="containsText" text="FALSO">
      <formula>NOT(ISERROR(SEARCH("FALSO",F27)))</formula>
    </cfRule>
    <cfRule type="containsText" dxfId="354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353" priority="40" operator="containsText" text="FALSO">
      <formula>NOT(ISERROR(SEARCH("FALSO",F28)))</formula>
    </cfRule>
    <cfRule type="containsText" dxfId="352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351" priority="17" operator="containsText" text="Verd">
      <formula>NOT(ISERROR(SEARCH("Verd",F29)))</formula>
    </cfRule>
    <cfRule type="containsText" dxfId="350" priority="16" operator="containsText" text="Fals">
      <formula>NOT(ISERROR(SEARCH("Fals",F29)))</formula>
    </cfRule>
  </conditionalFormatting>
  <conditionalFormatting sqref="F49:F86">
    <cfRule type="containsText" dxfId="349" priority="15" operator="containsText" text="Verd">
      <formula>NOT(ISERROR(SEARCH("Verd",F49)))</formula>
    </cfRule>
    <cfRule type="containsText" dxfId="348" priority="14" operator="containsText" text="Fals">
      <formula>NOT(ISERROR(SEARCH("Fals",F49)))</formula>
    </cfRule>
  </conditionalFormatting>
  <conditionalFormatting sqref="F88:F271">
    <cfRule type="containsText" dxfId="347" priority="19" operator="containsText" text="Verd">
      <formula>NOT(ISERROR(SEARCH("Verd",F88)))</formula>
    </cfRule>
    <cfRule type="containsText" dxfId="346" priority="18" operator="containsText" text="Fals">
      <formula>NOT(ISERROR(SEARCH("Fals",F88)))</formula>
    </cfRule>
  </conditionalFormatting>
  <conditionalFormatting sqref="F273:F330">
    <cfRule type="containsText" dxfId="345" priority="13" operator="containsText" text="Verd">
      <formula>NOT(ISERROR(SEARCH("Verd",F273)))</formula>
    </cfRule>
    <cfRule type="containsText" dxfId="344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F87C-A010-41F9-82F1-3E11F190862D}">
  <sheetPr>
    <tabColor theme="0"/>
    <pageSetUpPr autoPageBreaks="0" fitToPage="1"/>
  </sheetPr>
  <dimension ref="A1:HA412"/>
  <sheetViews>
    <sheetView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85546875" bestFit="1" customWidth="1"/>
    <col min="8" max="8" width="21.7109375" style="246" customWidth="1"/>
    <col min="9" max="9" width="21.710937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155</v>
      </c>
      <c r="D1" s="410" t="s">
        <v>315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SUM(D3:D26)</f>
        <v>0</v>
      </c>
      <c r="E2" s="307"/>
      <c r="F2" s="31"/>
      <c r="H2" s="285"/>
    </row>
    <row r="3" spans="1:10" x14ac:dyDescent="0.25">
      <c r="B3" s="413" t="str">
        <f>Fluxo_de_Caixa_Janeiro[[#This Row],[Fluxo de Caixa 2026 CTR]]</f>
        <v>1.0 - TESOURARIA MATRIZ PALMAS</v>
      </c>
      <c r="C3" s="62">
        <f>JULHO!C337</f>
        <v>0</v>
      </c>
      <c r="D3" s="414" t="str">
        <f>IF(C3=0,"0,00%",C3/$C$2)</f>
        <v>0,00%</v>
      </c>
      <c r="E3" s="66"/>
      <c r="F3" s="31"/>
    </row>
    <row r="4" spans="1:10" x14ac:dyDescent="0.25">
      <c r="B4" s="413" t="str">
        <f>Fluxo_de_Caixa_Janeiro[[#This Row],[Fluxo de Caixa 2026 CTR]]</f>
        <v>1.1 - BANCO DO BRASIL C.C.60409-7 MATRIZ</v>
      </c>
      <c r="C4" s="62">
        <f>JULHO!C338</f>
        <v>0</v>
      </c>
      <c r="D4" s="414" t="str">
        <f t="shared" ref="D4:D26" si="0">IF(C4=0,"0,00%",C4/$C$2)</f>
        <v>0,00%</v>
      </c>
      <c r="E4" s="66"/>
      <c r="F4" s="31"/>
    </row>
    <row r="5" spans="1:10" hidden="1" x14ac:dyDescent="0.25">
      <c r="B5" s="413">
        <f>Fluxo_de_Caixa_Janeiro[[#This Row],[Fluxo de Caixa 2026 CTR]]</f>
        <v>0</v>
      </c>
      <c r="C5" s="62">
        <f>JULHO!C339</f>
        <v>0</v>
      </c>
      <c r="D5" s="414" t="str">
        <f t="shared" si="0"/>
        <v>0,00%</v>
      </c>
      <c r="E5" s="66"/>
      <c r="F5" s="31"/>
    </row>
    <row r="6" spans="1:10" x14ac:dyDescent="0.25">
      <c r="B6" s="413" t="str">
        <f>Fluxo_de_Caixa_Janeiro[[#This Row],[Fluxo de Caixa 2026 CTR]]</f>
        <v>1.2-BRADESCO 15232-3 MATRIZ</v>
      </c>
      <c r="C6" s="62">
        <f>JULHO!C340</f>
        <v>0</v>
      </c>
      <c r="D6" s="414" t="str">
        <f t="shared" si="0"/>
        <v>0,00%</v>
      </c>
      <c r="E6" s="66"/>
      <c r="F6" s="31"/>
    </row>
    <row r="7" spans="1:10" hidden="1" x14ac:dyDescent="0.25">
      <c r="B7" s="413">
        <f>Fluxo_de_Caixa_Janeiro[[#This Row],[Fluxo de Caixa 2026 CTR]]</f>
        <v>0</v>
      </c>
      <c r="C7" s="62">
        <f>JULHO!C341</f>
        <v>0</v>
      </c>
      <c r="D7" s="414" t="str">
        <f t="shared" si="0"/>
        <v>0,00%</v>
      </c>
      <c r="E7" s="66"/>
      <c r="F7" s="31"/>
    </row>
    <row r="8" spans="1:10" x14ac:dyDescent="0.25">
      <c r="B8" s="413" t="str">
        <f>Fluxo_de_Caixa_Janeiro[[#This Row],[Fluxo de Caixa 2026 CTR]]</f>
        <v>1.3 - BANCO STONE MATRIZ C.C 40256726-7</v>
      </c>
      <c r="C8" s="62">
        <f>JULHO!C342</f>
        <v>0</v>
      </c>
      <c r="D8" s="414" t="str">
        <f t="shared" si="0"/>
        <v>0,00%</v>
      </c>
      <c r="E8" s="66"/>
      <c r="F8" s="31"/>
    </row>
    <row r="9" spans="1:10" hidden="1" x14ac:dyDescent="0.25">
      <c r="B9" s="413" t="str">
        <f>Fluxo_de_Caixa_Janeiro[[#This Row],[Fluxo de Caixa 2026 CTR]]</f>
        <v>1.4 - BANCO DA AMAZONIA 071730-7 MATRIZ</v>
      </c>
      <c r="C9" s="62">
        <f>JULHO!C343</f>
        <v>0</v>
      </c>
      <c r="D9" s="414" t="str">
        <f t="shared" si="0"/>
        <v>0,00%</v>
      </c>
      <c r="E9" s="66"/>
      <c r="F9" s="31"/>
    </row>
    <row r="10" spans="1:10" x14ac:dyDescent="0.25">
      <c r="B10" s="413" t="str">
        <f>Fluxo_de_Caixa_Janeiro[[#This Row],[Fluxo de Caixa 2026 CTR]]</f>
        <v>1.4.1.INVESTIMENTO CDBORE RCP TXFL</v>
      </c>
      <c r="C10" s="62">
        <f>JULHO!C344</f>
        <v>0</v>
      </c>
      <c r="D10" s="414" t="str">
        <f t="shared" si="0"/>
        <v>0,00%</v>
      </c>
      <c r="E10" s="66"/>
      <c r="F10" s="31"/>
    </row>
    <row r="11" spans="1:10" x14ac:dyDescent="0.25">
      <c r="B11" s="413" t="str">
        <f>Fluxo_de_Caixa_Janeiro[[#This Row],[Fluxo de Caixa 2026 CTR]]</f>
        <v>1.5 -  ITAU C.C.98671-6 MATRIZ</v>
      </c>
      <c r="C11" s="62">
        <f>JULHO!C345</f>
        <v>0</v>
      </c>
      <c r="D11" s="414" t="str">
        <f t="shared" si="0"/>
        <v>0,00%</v>
      </c>
      <c r="E11" s="66"/>
      <c r="F11" s="31"/>
    </row>
    <row r="12" spans="1:10" x14ac:dyDescent="0.25">
      <c r="B12" s="413" t="str">
        <f>Fluxo_de_Caixa_Janeiro[[#This Row],[Fluxo de Caixa 2026 CTR]]</f>
        <v>1.5.03. ITAU C.C 83290-2 GARANTIDA</v>
      </c>
      <c r="C12" s="62">
        <f>JULHO!C346</f>
        <v>0</v>
      </c>
      <c r="D12" s="414" t="str">
        <f t="shared" si="0"/>
        <v>0,00%</v>
      </c>
      <c r="E12" s="66"/>
      <c r="F12" s="31"/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JULHO!C347</f>
        <v>0</v>
      </c>
      <c r="D13" s="414" t="str">
        <f t="shared" si="0"/>
        <v>0,00%</v>
      </c>
      <c r="E13" s="66"/>
      <c r="F13" s="31"/>
    </row>
    <row r="14" spans="1:10" x14ac:dyDescent="0.25">
      <c r="B14" s="413">
        <f>Fluxo_de_Caixa_Janeiro[[#This Row],[Fluxo de Caixa 2026 CTR]]</f>
        <v>0</v>
      </c>
      <c r="C14" s="62">
        <f>JULHO!C348</f>
        <v>0</v>
      </c>
      <c r="D14" s="414" t="str">
        <f t="shared" si="0"/>
        <v>0,00%</v>
      </c>
      <c r="E14" s="66"/>
      <c r="F14" s="31"/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JULHO!C349</f>
        <v>0</v>
      </c>
      <c r="D15" s="414" t="str">
        <f t="shared" si="0"/>
        <v>0,00%</v>
      </c>
      <c r="E15" s="66"/>
      <c r="F15" s="31"/>
    </row>
    <row r="16" spans="1:10" x14ac:dyDescent="0.25">
      <c r="B16" s="413">
        <f>Fluxo_de_Caixa_Janeiro[[#This Row],[Fluxo de Caixa 2026 CTR]]</f>
        <v>0</v>
      </c>
      <c r="C16" s="62">
        <f>JULHO!C350</f>
        <v>0</v>
      </c>
      <c r="D16" s="414" t="str">
        <f t="shared" si="0"/>
        <v>0,00%</v>
      </c>
      <c r="E16" s="617" t="e">
        <f>#REF!</f>
        <v>#REF!</v>
      </c>
      <c r="F16" s="31"/>
    </row>
    <row r="17" spans="1:10" x14ac:dyDescent="0.25">
      <c r="B17" s="413">
        <f>Fluxo_de_Caixa_Janeiro[[#This Row],[Fluxo de Caixa 2026 CTR]]</f>
        <v>0</v>
      </c>
      <c r="C17" s="62">
        <f>JULHO!C351</f>
        <v>0</v>
      </c>
      <c r="D17" s="414" t="str">
        <f t="shared" si="0"/>
        <v>0,00%</v>
      </c>
      <c r="E17" s="617" t="e">
        <f>#REF!</f>
        <v>#REF!</v>
      </c>
      <c r="F17" s="31"/>
    </row>
    <row r="18" spans="1:10" x14ac:dyDescent="0.25">
      <c r="B18" s="413" t="str">
        <f>Fluxo_de_Caixa_Janeiro[[#This Row],[Fluxo de Caixa 2026 CTR]]</f>
        <v>2.4 - ITAU C.C.98669-0 FILIAL PALMAS</v>
      </c>
      <c r="C18" s="62">
        <f>JULHO!C352</f>
        <v>0</v>
      </c>
      <c r="D18" s="414" t="str">
        <f t="shared" si="0"/>
        <v>0,00%</v>
      </c>
      <c r="E18" s="617" t="e">
        <f>#REF!</f>
        <v>#REF!</v>
      </c>
      <c r="F18" s="31"/>
    </row>
    <row r="19" spans="1:10" x14ac:dyDescent="0.25">
      <c r="B19" s="413" t="str">
        <f>Fluxo_de_Caixa_Janeiro[[#This Row],[Fluxo de Caixa 2026 CTR]]</f>
        <v>2.9 - CONTA PERDA/ROUBO E BONIFICAÇÃO FILIAL</v>
      </c>
      <c r="C19" s="62">
        <f>JULHO!C353</f>
        <v>0</v>
      </c>
      <c r="D19" s="414" t="str">
        <f t="shared" si="0"/>
        <v>0,00%</v>
      </c>
      <c r="E19" s="617" t="e">
        <f>#REF!</f>
        <v>#REF!</v>
      </c>
      <c r="F19" s="31"/>
    </row>
    <row r="20" spans="1:10" x14ac:dyDescent="0.25">
      <c r="B20" s="413" t="str">
        <f>Fluxo_de_Caixa_Janeiro[[#This Row],[Fluxo de Caixa 2026 CTR]]</f>
        <v>4.0 - TESOURARIA FILIAL PORTO</v>
      </c>
      <c r="C20" s="62">
        <f>JULHO!C354</f>
        <v>0</v>
      </c>
      <c r="D20" s="414" t="str">
        <f t="shared" si="0"/>
        <v>0,00%</v>
      </c>
      <c r="E20" s="617" t="e">
        <f>#REF!</f>
        <v>#REF!</v>
      </c>
      <c r="F20" s="31"/>
      <c r="I20" s="246"/>
      <c r="J20" s="246"/>
    </row>
    <row r="21" spans="1:10" x14ac:dyDescent="0.25">
      <c r="B21" s="413" t="str">
        <f>Fluxo_de_Caixa_Janeiro[[#This Row],[Fluxo de Caixa 2026 CTR]]</f>
        <v>4.1 -  BANCO DO BRASIL C.C.61105-0 FILIAL PORTO</v>
      </c>
      <c r="C21" s="62">
        <f>JULHO!C355</f>
        <v>0</v>
      </c>
      <c r="D21" s="414" t="str">
        <f t="shared" si="0"/>
        <v>0,00%</v>
      </c>
      <c r="E21" s="617" t="e">
        <f>#REF!</f>
        <v>#REF!</v>
      </c>
      <c r="F21" s="31"/>
      <c r="I21" s="246"/>
      <c r="J21" s="246"/>
    </row>
    <row r="22" spans="1:10" hidden="1" x14ac:dyDescent="0.25">
      <c r="B22" s="413">
        <f>Fluxo_de_Caixa_Janeiro[[#This Row],[Fluxo de Caixa 2026 CTR]]</f>
        <v>0</v>
      </c>
      <c r="C22" s="62">
        <f>JULHO!C356</f>
        <v>0</v>
      </c>
      <c r="D22" s="414" t="str">
        <f t="shared" si="0"/>
        <v>0,00%</v>
      </c>
      <c r="E22" s="617" t="e">
        <f>#REF!</f>
        <v>#REF!</v>
      </c>
      <c r="F22" s="31"/>
      <c r="I22" s="246"/>
      <c r="J22" s="246"/>
    </row>
    <row r="23" spans="1:10" x14ac:dyDescent="0.25">
      <c r="B23" s="413" t="str">
        <f>Fluxo_de_Caixa_Janeiro[[#This Row],[Fluxo de Caixa 2026 CTR]]</f>
        <v>4.4 - MERCADO PAGO PIX FILIAL PORTO</v>
      </c>
      <c r="C23" s="62">
        <f>JULHO!C357</f>
        <v>0</v>
      </c>
      <c r="D23" s="414" t="str">
        <f t="shared" si="0"/>
        <v>0,00%</v>
      </c>
      <c r="E23" s="617" t="e">
        <f>#REF!</f>
        <v>#REF!</v>
      </c>
      <c r="F23" s="31"/>
      <c r="I23" s="246"/>
      <c r="J23" s="246"/>
    </row>
    <row r="24" spans="1:10" x14ac:dyDescent="0.25">
      <c r="B24" s="413" t="str">
        <f>Fluxo_de_Caixa_Janeiro[[#This Row],[Fluxo de Caixa 2026 CTR]]</f>
        <v>4.9 - CONTA PERDA/ROUBO E BONIFICAÇÃO FILIAL</v>
      </c>
      <c r="C24" s="62">
        <f>JULHO!C358</f>
        <v>0</v>
      </c>
      <c r="D24" s="414" t="str">
        <f t="shared" si="0"/>
        <v>0,00%</v>
      </c>
      <c r="E24" s="617" t="e">
        <f>#REF!</f>
        <v>#REF!</v>
      </c>
      <c r="F24" s="31"/>
      <c r="I24" s="246"/>
      <c r="J24" s="246"/>
    </row>
    <row r="25" spans="1:10" x14ac:dyDescent="0.25">
      <c r="B25" s="413" t="str">
        <f>Fluxo_de_Caixa_Janeiro[[#This Row],[Fluxo de Caixa 2026 CTR]]</f>
        <v>91.CARTÃO ENDERED 5099+4596+6933+8072 - ESCRITORIO</v>
      </c>
      <c r="C25" s="62">
        <f>JULHO!C359</f>
        <v>0</v>
      </c>
      <c r="D25" s="414" t="str">
        <f t="shared" si="0"/>
        <v>0,00%</v>
      </c>
      <c r="E25" s="617" t="e">
        <f>#REF!</f>
        <v>#REF!</v>
      </c>
      <c r="F25" s="31"/>
      <c r="I25" s="287"/>
    </row>
    <row r="26" spans="1:10" ht="15.75" hidden="1" thickBot="1" x14ac:dyDescent="0.3">
      <c r="B26" s="413">
        <f>Fluxo_de_Caixa_Janeiro[[#This Row],[Fluxo de Caixa 2026 CTR]]</f>
        <v>0</v>
      </c>
      <c r="C26" s="62">
        <f>JULHO!C360</f>
        <v>0</v>
      </c>
      <c r="D26" s="414" t="str">
        <f t="shared" si="0"/>
        <v>0,00%</v>
      </c>
      <c r="E26" s="67"/>
      <c r="F26" s="31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25">
      <c r="B31" s="419" t="str">
        <f>Fluxo_de_Caixa_Janeiro[[#This Row],[Fluxo de Caixa 2026 CTR]]</f>
        <v>1.1.01. Receita de Cheque A Vista</v>
      </c>
      <c r="C31" s="64">
        <f>H31+I31+J31</f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ref="C32:C36" si="2">H32+I32+J32</f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25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25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6"/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25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25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25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25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25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7" si="9">H90+I90+J90</f>
        <v>0</v>
      </c>
      <c r="D90" s="438" t="str">
        <f t="shared" ref="D90:D99" si="10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9"/>
        <v>0</v>
      </c>
      <c r="D91" s="438" t="str">
        <f t="shared" si="10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 t="str">
        <f t="shared" si="10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9"/>
        <v>0</v>
      </c>
      <c r="D93" s="438" t="str">
        <f t="shared" si="10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9"/>
        <v>0</v>
      </c>
      <c r="D94" s="438" t="str">
        <f t="shared" si="10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9"/>
        <v>0</v>
      </c>
      <c r="D95" s="438" t="str">
        <f t="shared" si="10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 t="str">
        <f t="shared" si="10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 t="str">
        <f t="shared" si="10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/>
      <c r="D98" s="438" t="str">
        <f t="shared" si="10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x14ac:dyDescent="0.25">
      <c r="B99" s="437">
        <f>Fluxo_de_Caixa_Janeiro[[#This Row],[Fluxo de Caixa 2026 CTR]]</f>
        <v>0</v>
      </c>
      <c r="C99" s="62"/>
      <c r="D99" s="438" t="str">
        <f t="shared" si="10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25">
      <c r="B140" s="437" t="str">
        <f>Fluxo_de_Caixa_Janeiro[[#This Row],[Fluxo de Caixa 2026 CTR]]</f>
        <v>3.3.09. Viagens e Estadias - CPD</v>
      </c>
      <c r="C140" s="62"/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25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SUM(D337:D351)</f>
        <v>0</v>
      </c>
      <c r="E336" s="336">
        <v>1</v>
      </c>
      <c r="F336" s="34"/>
      <c r="I336" s="246"/>
    </row>
    <row r="337" spans="2:9" x14ac:dyDescent="0.25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25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60" si="38">C4</f>
        <v>0</v>
      </c>
      <c r="I338" s="246"/>
    </row>
    <row r="339" spans="2:9" hidden="1" x14ac:dyDescent="0.25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25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0</v>
      </c>
      <c r="I340" s="246"/>
    </row>
    <row r="341" spans="2:9" hidden="1" x14ac:dyDescent="0.25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25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hidden="1" x14ac:dyDescent="0.25">
      <c r="B343" s="413" t="str">
        <f>Fluxo_de_Caixa_Janeiro[[#This Row],[Fluxo de Caixa 2026 CTR]]</f>
        <v>1.4 - BANCO DA AMAZONIA 071730-7 MATRIZ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0</v>
      </c>
      <c r="I343" s="246"/>
    </row>
    <row r="344" spans="2:9" x14ac:dyDescent="0.25">
      <c r="B344" s="413" t="str">
        <f>Fluxo_de_Caixa_Janeiro[[#This Row],[Fluxo de Caixa 2026 CTR]]</f>
        <v>1.4.1.INVESTIMENTO CDBORE RCP TXFL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0</v>
      </c>
      <c r="I344" s="246"/>
    </row>
    <row r="345" spans="2:9" x14ac:dyDescent="0.25">
      <c r="B345" s="413" t="str">
        <f>Fluxo_de_Caixa_Janeiro[[#This Row],[Fluxo de Caixa 2026 CTR]]</f>
        <v>1.5 -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0</v>
      </c>
      <c r="I345" s="246"/>
    </row>
    <row r="346" spans="2:9" x14ac:dyDescent="0.25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25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0</v>
      </c>
      <c r="I347" s="246"/>
    </row>
    <row r="348" spans="2:9" x14ac:dyDescent="0.25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25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0</v>
      </c>
      <c r="I349" s="246"/>
    </row>
    <row r="350" spans="2:9" x14ac:dyDescent="0.25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25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x14ac:dyDescent="0.25">
      <c r="B352" s="413" t="str">
        <f>Fluxo_de_Caixa_Janeiro[[#This Row],[Fluxo de Caixa 2026 CTR]]</f>
        <v>2.4 - ITAU C.C.98669-0 FILIAL PALMAS</v>
      </c>
      <c r="C352" s="62"/>
      <c r="D352" s="414" t="str">
        <f t="shared" si="37"/>
        <v>0,00%</v>
      </c>
      <c r="E352" s="617" t="e">
        <f>#REF!</f>
        <v>#REF!</v>
      </c>
      <c r="H352" s="246">
        <f t="shared" si="38"/>
        <v>0</v>
      </c>
      <c r="I352" s="246"/>
    </row>
    <row r="353" spans="2:9" x14ac:dyDescent="0.25">
      <c r="B353" s="413" t="str">
        <f>Fluxo_de_Caixa_Janeiro[[#This Row],[Fluxo de Caixa 2026 CTR]]</f>
        <v>2.9 - CONTA PERDA/ROUBO E BONIFICAÇÃO FILIAL</v>
      </c>
      <c r="C353" s="62"/>
      <c r="D353" s="414" t="str">
        <f t="shared" si="37"/>
        <v>0,00%</v>
      </c>
      <c r="E353" s="617" t="e">
        <f>#REF!</f>
        <v>#REF!</v>
      </c>
      <c r="H353" s="246">
        <f t="shared" si="38"/>
        <v>0</v>
      </c>
      <c r="I353" s="246"/>
    </row>
    <row r="354" spans="2:9" x14ac:dyDescent="0.25">
      <c r="B354" s="413" t="str">
        <f>Fluxo_de_Caixa_Janeiro[[#This Row],[Fluxo de Caixa 2026 CTR]]</f>
        <v>4.0 - TESOURARIA FILIAL PORTO</v>
      </c>
      <c r="C354" s="62"/>
      <c r="D354" s="414" t="str">
        <f t="shared" si="37"/>
        <v>0,00%</v>
      </c>
      <c r="E354" s="617" t="e">
        <f>#REF!</f>
        <v>#REF!</v>
      </c>
      <c r="H354" s="246">
        <f t="shared" si="38"/>
        <v>0</v>
      </c>
      <c r="I354" s="246"/>
    </row>
    <row r="355" spans="2:9" x14ac:dyDescent="0.25">
      <c r="B355" s="413" t="str">
        <f>Fluxo_de_Caixa_Janeiro[[#This Row],[Fluxo de Caixa 2026 CTR]]</f>
        <v>4.1 -  BANCO DO BRASIL C.C.61105-0 FILIAL PORTO</v>
      </c>
      <c r="C355" s="62"/>
      <c r="D355" s="414" t="str">
        <f t="shared" si="37"/>
        <v>0,00%</v>
      </c>
      <c r="E355" s="617" t="e">
        <f>#REF!</f>
        <v>#REF!</v>
      </c>
      <c r="H355" s="246">
        <f t="shared" si="38"/>
        <v>0</v>
      </c>
      <c r="I355" s="246"/>
    </row>
    <row r="356" spans="2:9" hidden="1" x14ac:dyDescent="0.25">
      <c r="B356" s="413">
        <f>Fluxo_de_Caixa_Janeiro[[#This Row],[Fluxo de Caixa 2026 CTR]]</f>
        <v>0</v>
      </c>
      <c r="C356" s="62"/>
      <c r="D356" s="414" t="str">
        <f t="shared" si="37"/>
        <v>0,00%</v>
      </c>
      <c r="E356" s="617" t="e">
        <f>#REF!</f>
        <v>#REF!</v>
      </c>
      <c r="H356" s="246">
        <f t="shared" si="38"/>
        <v>0</v>
      </c>
      <c r="I356" s="246"/>
    </row>
    <row r="357" spans="2:9" x14ac:dyDescent="0.25">
      <c r="B357" s="413" t="str">
        <f>Fluxo_de_Caixa_Janeiro[[#This Row],[Fluxo de Caixa 2026 CTR]]</f>
        <v>4.4 - MERCADO PAGO PIX FILIAL PORTO</v>
      </c>
      <c r="C357" s="62"/>
      <c r="D357" s="414" t="str">
        <f t="shared" si="37"/>
        <v>0,00%</v>
      </c>
      <c r="E357" s="617" t="e">
        <f>#REF!</f>
        <v>#REF!</v>
      </c>
      <c r="H357" s="246">
        <f t="shared" si="38"/>
        <v>0</v>
      </c>
      <c r="I357" s="246"/>
    </row>
    <row r="358" spans="2:9" x14ac:dyDescent="0.25">
      <c r="B358" s="413" t="str">
        <f>Fluxo_de_Caixa_Janeiro[[#This Row],[Fluxo de Caixa 2026 CTR]]</f>
        <v>4.9 - CONTA PERDA/ROUBO E BONIFICAÇÃO FILIAL</v>
      </c>
      <c r="C358" s="62"/>
      <c r="D358" s="414" t="str">
        <f t="shared" si="37"/>
        <v>0,00%</v>
      </c>
      <c r="E358" s="617" t="e">
        <f>#REF!</f>
        <v>#REF!</v>
      </c>
      <c r="H358" s="246">
        <f t="shared" si="38"/>
        <v>0</v>
      </c>
      <c r="I358" s="246"/>
    </row>
    <row r="359" spans="2:9" x14ac:dyDescent="0.25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7"/>
        <v>0,00%</v>
      </c>
      <c r="E359" s="617" t="e">
        <f>#REF!</f>
        <v>#REF!</v>
      </c>
      <c r="H359" s="246">
        <f>C25</f>
        <v>0</v>
      </c>
      <c r="I359" s="246"/>
    </row>
    <row r="360" spans="2:9" hidden="1" x14ac:dyDescent="0.25">
      <c r="B360" s="413">
        <f>Fluxo_de_Caixa_Janeiro[[#This Row],[Fluxo de Caixa 2026 CTR]]</f>
        <v>0</v>
      </c>
      <c r="C360" s="62"/>
      <c r="D360" s="414" t="str">
        <f t="shared" si="37"/>
        <v>0,00%</v>
      </c>
      <c r="E360" s="617" t="e">
        <f>#REF!</f>
        <v>#REF!</v>
      </c>
      <c r="H360" s="246">
        <f t="shared" si="38"/>
        <v>0</v>
      </c>
      <c r="I360" s="246"/>
    </row>
    <row r="361" spans="2:9" ht="24" thickBot="1" x14ac:dyDescent="0.4">
      <c r="B361" s="463"/>
      <c r="C361" s="464">
        <f>SUM(C337:C359)-C335</f>
        <v>0</v>
      </c>
      <c r="D361" s="465" t="str">
        <f>IFERROR(C361/C336,"0,00%")</f>
        <v>0,00%</v>
      </c>
      <c r="E361" s="338" t="e">
        <f>#REF!</f>
        <v>#REF!</v>
      </c>
      <c r="H361" s="246">
        <f>SUM(H337:H360)</f>
        <v>0</v>
      </c>
      <c r="I361" s="246"/>
    </row>
    <row r="362" spans="2:9" x14ac:dyDescent="0.25"/>
    <row r="363" spans="2:9" x14ac:dyDescent="0.25"/>
    <row r="364" spans="2:9" x14ac:dyDescent="0.25"/>
    <row r="365" spans="2:9" x14ac:dyDescent="0.25">
      <c r="C365">
        <v>-4259.2800000000861</v>
      </c>
    </row>
    <row r="366" spans="2:9" x14ac:dyDescent="0.25"/>
    <row r="367" spans="2:9" x14ac:dyDescent="0.25"/>
    <row r="368" spans="2:9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  <row r="412" x14ac:dyDescent="0.25"/>
  </sheetData>
  <protectedRanges>
    <protectedRange sqref="C3:C26" name="Intervalo1"/>
    <protectedRange sqref="C344:C360" name="Saldo Final de Banco"/>
    <protectedRange sqref="C337:C343" name="Saldo Final de Banco_1"/>
  </protectedRanges>
  <conditionalFormatting sqref="C86">
    <cfRule type="cellIs" dxfId="343" priority="1" operator="lessThan">
      <formula>0</formula>
    </cfRule>
  </conditionalFormatting>
  <conditionalFormatting sqref="C237">
    <cfRule type="cellIs" dxfId="342" priority="2" operator="greaterThan">
      <formula>0</formula>
    </cfRule>
    <cfRule type="cellIs" dxfId="341" priority="3" operator="lessThan">
      <formula>0</formula>
    </cfRule>
    <cfRule type="cellIs" dxfId="340" priority="4" operator="greaterThan">
      <formula>0</formula>
    </cfRule>
  </conditionalFormatting>
  <conditionalFormatting sqref="C334">
    <cfRule type="cellIs" dxfId="339" priority="5" operator="lessThan">
      <formula>0</formula>
    </cfRule>
    <cfRule type="cellIs" dxfId="338" priority="6" operator="greaterThan">
      <formula>0</formula>
    </cfRule>
  </conditionalFormatting>
  <conditionalFormatting sqref="C335">
    <cfRule type="cellIs" dxfId="337" priority="7" operator="lessThan">
      <formula>0</formula>
    </cfRule>
    <cfRule type="cellIs" dxfId="336" priority="8" operator="greaterThan">
      <formula>0.001</formula>
    </cfRule>
    <cfRule type="cellIs" dxfId="335" priority="9" operator="lessThan">
      <formula>0</formula>
    </cfRule>
    <cfRule type="cellIs" dxfId="334" priority="10" operator="greaterThan">
      <formula>0</formula>
    </cfRule>
    <cfRule type="aboveAverage" dxfId="333" priority="11" aboveAverage="0"/>
  </conditionalFormatting>
  <conditionalFormatting sqref="D86">
    <cfRule type="cellIs" dxfId="332" priority="29" operator="lessThan">
      <formula>0</formula>
    </cfRule>
  </conditionalFormatting>
  <conditionalFormatting sqref="D237 D334">
    <cfRule type="cellIs" dxfId="331" priority="36" operator="greaterThan">
      <formula>0</formula>
    </cfRule>
  </conditionalFormatting>
  <conditionalFormatting sqref="D237">
    <cfRule type="cellIs" dxfId="330" priority="32" operator="lessThan">
      <formula>0</formula>
    </cfRule>
    <cfRule type="cellIs" dxfId="329" priority="31" operator="greaterThan">
      <formula>0</formula>
    </cfRule>
  </conditionalFormatting>
  <conditionalFormatting sqref="D334">
    <cfRule type="cellIs" dxfId="328" priority="35" operator="lessThan">
      <formula>0</formula>
    </cfRule>
  </conditionalFormatting>
  <conditionalFormatting sqref="D335">
    <cfRule type="cellIs" dxfId="327" priority="34" operator="greaterThan">
      <formula>0</formula>
    </cfRule>
    <cfRule type="cellIs" dxfId="326" priority="33" operator="lessThan">
      <formula>0</formula>
    </cfRule>
    <cfRule type="cellIs" dxfId="325" priority="30" operator="greaterThan">
      <formula>0</formula>
    </cfRule>
    <cfRule type="aboveAverage" dxfId="324" priority="37" aboveAverage="0"/>
  </conditionalFormatting>
  <conditionalFormatting sqref="E86">
    <cfRule type="cellIs" dxfId="323" priority="20" operator="lessThan">
      <formula>0</formula>
    </cfRule>
  </conditionalFormatting>
  <conditionalFormatting sqref="E237 E334">
    <cfRule type="cellIs" dxfId="322" priority="27" operator="greaterThan">
      <formula>0</formula>
    </cfRule>
  </conditionalFormatting>
  <conditionalFormatting sqref="E237">
    <cfRule type="cellIs" dxfId="321" priority="23" operator="lessThan">
      <formula>0</formula>
    </cfRule>
    <cfRule type="cellIs" dxfId="320" priority="22" operator="greaterThan">
      <formula>0</formula>
    </cfRule>
  </conditionalFormatting>
  <conditionalFormatting sqref="E334">
    <cfRule type="cellIs" dxfId="319" priority="26" operator="lessThan">
      <formula>0</formula>
    </cfRule>
  </conditionalFormatting>
  <conditionalFormatting sqref="E335">
    <cfRule type="aboveAverage" dxfId="318" priority="28" aboveAverage="0"/>
    <cfRule type="cellIs" dxfId="317" priority="21" operator="greaterThan">
      <formula>0</formula>
    </cfRule>
    <cfRule type="cellIs" dxfId="316" priority="24" operator="lessThan">
      <formula>0</formula>
    </cfRule>
    <cfRule type="cellIs" dxfId="315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14" priority="101" operator="containsText" text="FALSO">
      <formula>NOT(ISERROR(SEARCH("FALSO",F27)))</formula>
    </cfRule>
    <cfRule type="containsText" dxfId="313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312" priority="40" operator="containsText" text="FALSO">
      <formula>NOT(ISERROR(SEARCH("FALSO",F28)))</formula>
    </cfRule>
    <cfRule type="containsText" dxfId="311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310" priority="17" operator="containsText" text="Verd">
      <formula>NOT(ISERROR(SEARCH("Verd",F29)))</formula>
    </cfRule>
    <cfRule type="containsText" dxfId="309" priority="16" operator="containsText" text="Fals">
      <formula>NOT(ISERROR(SEARCH("Fals",F29)))</formula>
    </cfRule>
  </conditionalFormatting>
  <conditionalFormatting sqref="F49:F86">
    <cfRule type="containsText" dxfId="308" priority="15" operator="containsText" text="Verd">
      <formula>NOT(ISERROR(SEARCH("Verd",F49)))</formula>
    </cfRule>
    <cfRule type="containsText" dxfId="307" priority="14" operator="containsText" text="Fals">
      <formula>NOT(ISERROR(SEARCH("Fals",F49)))</formula>
    </cfRule>
  </conditionalFormatting>
  <conditionalFormatting sqref="F88:F271">
    <cfRule type="containsText" dxfId="306" priority="19" operator="containsText" text="Verd">
      <formula>NOT(ISERROR(SEARCH("Verd",F88)))</formula>
    </cfRule>
    <cfRule type="containsText" dxfId="305" priority="18" operator="containsText" text="Fals">
      <formula>NOT(ISERROR(SEARCH("Fals",F88)))</formula>
    </cfRule>
  </conditionalFormatting>
  <conditionalFormatting sqref="F273:F330">
    <cfRule type="containsText" dxfId="304" priority="13" operator="containsText" text="Verd">
      <formula>NOT(ISERROR(SEARCH("Verd",F273)))</formula>
    </cfRule>
    <cfRule type="containsText" dxfId="303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07D0-820A-4A78-A34A-772B2333C9CB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2" activePane="bottomRight" state="frozen"/>
      <selection activeCell="G6" sqref="G6"/>
      <selection pane="topRight" activeCell="G6" sqref="G6"/>
      <selection pane="bottomLeft" activeCell="G6" sqref="G6"/>
      <selection pane="bottomRight" activeCell="D2" sqref="D2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140625" customWidth="1"/>
    <col min="8" max="8" width="21.7109375" style="246" customWidth="1"/>
    <col min="9" max="9" width="21.7109375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156</v>
      </c>
      <c r="D1" s="410" t="s">
        <v>316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SUM(D3:D17)</f>
        <v>0</v>
      </c>
      <c r="E2" s="307"/>
      <c r="F2" s="31"/>
      <c r="H2" s="285"/>
    </row>
    <row r="3" spans="1:10" x14ac:dyDescent="0.25">
      <c r="B3" s="413" t="str">
        <f>Fluxo_de_Caixa_Janeiro[[#This Row],[Fluxo de Caixa 2026 CTR]]</f>
        <v>1.0 - TESOURARIA MATRIZ PALMAS</v>
      </c>
      <c r="C3" s="62">
        <f>AGOSTO!C337</f>
        <v>0</v>
      </c>
      <c r="D3" s="414" t="str">
        <f>IF(C3=0,"0,00%",C3/$C$2)</f>
        <v>0,00%</v>
      </c>
      <c r="E3" s="66"/>
      <c r="F3" s="31"/>
    </row>
    <row r="4" spans="1:10" x14ac:dyDescent="0.25">
      <c r="B4" s="413" t="str">
        <f>Fluxo_de_Caixa_Janeiro[[#This Row],[Fluxo de Caixa 2026 CTR]]</f>
        <v>1.1 - BANCO DO BRASIL C.C.60409-7 MATRIZ</v>
      </c>
      <c r="C4" s="62">
        <f>AGOSTO!C338</f>
        <v>0</v>
      </c>
      <c r="D4" s="414" t="str">
        <f t="shared" ref="D4:D26" si="0">IF(C4=0,"0,00%",C4/$C$2)</f>
        <v>0,00%</v>
      </c>
      <c r="E4" s="66"/>
      <c r="F4" s="31"/>
    </row>
    <row r="5" spans="1:10" hidden="1" x14ac:dyDescent="0.25">
      <c r="B5" s="413">
        <f>Fluxo_de_Caixa_Janeiro[[#This Row],[Fluxo de Caixa 2026 CTR]]</f>
        <v>0</v>
      </c>
      <c r="C5" s="62">
        <f>AGOSTO!C339</f>
        <v>0</v>
      </c>
      <c r="D5" s="414" t="str">
        <f t="shared" si="0"/>
        <v>0,00%</v>
      </c>
      <c r="E5" s="66"/>
      <c r="F5" s="31"/>
    </row>
    <row r="6" spans="1:10" x14ac:dyDescent="0.25">
      <c r="B6" s="413" t="str">
        <f>Fluxo_de_Caixa_Janeiro[[#This Row],[Fluxo de Caixa 2026 CTR]]</f>
        <v>1.2-BRADESCO 15232-3 MATRIZ</v>
      </c>
      <c r="C6" s="62">
        <f>AGOSTO!C340</f>
        <v>0</v>
      </c>
      <c r="D6" s="414" t="str">
        <f t="shared" si="0"/>
        <v>0,00%</v>
      </c>
      <c r="E6" s="66"/>
      <c r="F6" s="31"/>
    </row>
    <row r="7" spans="1:10" x14ac:dyDescent="0.25">
      <c r="B7" s="413">
        <f>Fluxo_de_Caixa_Janeiro[[#This Row],[Fluxo de Caixa 2026 CTR]]</f>
        <v>0</v>
      </c>
      <c r="C7" s="62">
        <f>AGOSTO!C341</f>
        <v>0</v>
      </c>
      <c r="D7" s="414" t="str">
        <f t="shared" si="0"/>
        <v>0,00%</v>
      </c>
      <c r="E7" s="66"/>
      <c r="F7" s="31"/>
    </row>
    <row r="8" spans="1:10" x14ac:dyDescent="0.25">
      <c r="B8" s="413" t="str">
        <f>Fluxo_de_Caixa_Janeiro[[#This Row],[Fluxo de Caixa 2026 CTR]]</f>
        <v>1.3 - BANCO STONE MATRIZ C.C 40256726-7</v>
      </c>
      <c r="C8" s="62">
        <f>AGOSTO!C342</f>
        <v>0</v>
      </c>
      <c r="D8" s="414" t="str">
        <f t="shared" si="0"/>
        <v>0,00%</v>
      </c>
      <c r="E8" s="66"/>
      <c r="F8" s="31"/>
    </row>
    <row r="9" spans="1:10" x14ac:dyDescent="0.25">
      <c r="B9" s="413" t="str">
        <f>Fluxo_de_Caixa_Janeiro[[#This Row],[Fluxo de Caixa 2026 CTR]]</f>
        <v>1.4 - BANCO DA AMAZONIA 071730-7 MATRIZ</v>
      </c>
      <c r="C9" s="62">
        <f>AGOSTO!C343</f>
        <v>0</v>
      </c>
      <c r="D9" s="414" t="str">
        <f t="shared" si="0"/>
        <v>0,00%</v>
      </c>
      <c r="E9" s="66"/>
      <c r="F9" s="31"/>
    </row>
    <row r="10" spans="1:10" x14ac:dyDescent="0.25">
      <c r="B10" s="413" t="str">
        <f>Fluxo_de_Caixa_Janeiro[[#This Row],[Fluxo de Caixa 2026 CTR]]</f>
        <v>1.4.1.INVESTIMENTO CDBORE RCP TXFL</v>
      </c>
      <c r="C10" s="62">
        <f>AGOSTO!C344</f>
        <v>0</v>
      </c>
      <c r="D10" s="414" t="str">
        <f t="shared" si="0"/>
        <v>0,00%</v>
      </c>
      <c r="E10" s="66"/>
      <c r="F10" s="31"/>
    </row>
    <row r="11" spans="1:10" x14ac:dyDescent="0.25">
      <c r="B11" s="413" t="str">
        <f>Fluxo_de_Caixa_Janeiro[[#This Row],[Fluxo de Caixa 2026 CTR]]</f>
        <v>1.5 -  ITAU C.C.98671-6 MATRIZ</v>
      </c>
      <c r="C11" s="62">
        <f>AGOSTO!C345</f>
        <v>0</v>
      </c>
      <c r="D11" s="414" t="str">
        <f t="shared" si="0"/>
        <v>0,00%</v>
      </c>
      <c r="E11" s="66"/>
      <c r="F11" s="31"/>
    </row>
    <row r="12" spans="1:10" x14ac:dyDescent="0.25">
      <c r="B12" s="413" t="str">
        <f>Fluxo_de_Caixa_Janeiro[[#This Row],[Fluxo de Caixa 2026 CTR]]</f>
        <v>1.5.03. ITAU C.C 83290-2 GARANTIDA</v>
      </c>
      <c r="C12" s="62">
        <f>AGOSTO!C346</f>
        <v>0</v>
      </c>
      <c r="D12" s="414" t="str">
        <f t="shared" si="0"/>
        <v>0,00%</v>
      </c>
      <c r="E12" s="66"/>
      <c r="F12" s="31"/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AGOSTO!C347</f>
        <v>0</v>
      </c>
      <c r="D13" s="414" t="str">
        <f t="shared" si="0"/>
        <v>0,00%</v>
      </c>
      <c r="E13" s="66"/>
      <c r="F13" s="31"/>
    </row>
    <row r="14" spans="1:10" x14ac:dyDescent="0.25">
      <c r="B14" s="413">
        <f>Fluxo_de_Caixa_Janeiro[[#This Row],[Fluxo de Caixa 2026 CTR]]</f>
        <v>0</v>
      </c>
      <c r="C14" s="62">
        <f>AGOSTO!C348</f>
        <v>0</v>
      </c>
      <c r="D14" s="414" t="str">
        <f t="shared" si="0"/>
        <v>0,00%</v>
      </c>
      <c r="E14" s="66"/>
      <c r="F14" s="31"/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AGOSTO!C349</f>
        <v>0</v>
      </c>
      <c r="D15" s="414" t="str">
        <f t="shared" si="0"/>
        <v>0,00%</v>
      </c>
      <c r="E15" s="66"/>
      <c r="F15" s="31"/>
    </row>
    <row r="16" spans="1:10" x14ac:dyDescent="0.25">
      <c r="B16" s="413">
        <f>Fluxo_de_Caixa_Janeiro[[#This Row],[Fluxo de Caixa 2026 CTR]]</f>
        <v>0</v>
      </c>
      <c r="C16" s="62">
        <f>AGOSTO!C350</f>
        <v>0</v>
      </c>
      <c r="D16" s="414" t="str">
        <f t="shared" si="0"/>
        <v>0,00%</v>
      </c>
      <c r="E16" s="66"/>
      <c r="F16" s="31"/>
    </row>
    <row r="17" spans="1:10" ht="15.75" thickBot="1" x14ac:dyDescent="0.3">
      <c r="B17" s="413">
        <f>Fluxo_de_Caixa_Janeiro[[#This Row],[Fluxo de Caixa 2026 CTR]]</f>
        <v>0</v>
      </c>
      <c r="C17" s="62">
        <f>AGOSTO!C351</f>
        <v>0</v>
      </c>
      <c r="D17" s="414" t="str">
        <f t="shared" si="0"/>
        <v>0,00%</v>
      </c>
      <c r="E17" s="67"/>
      <c r="F17" s="31"/>
    </row>
    <row r="18" spans="1:10" x14ac:dyDescent="0.25">
      <c r="B18" s="413" t="str">
        <f>Fluxo_de_Caixa_Janeiro[[#This Row],[Fluxo de Caixa 2026 CTR]]</f>
        <v>2.4 - ITAU C.C.98669-0 FILIAL PALMAS</v>
      </c>
      <c r="C18" s="62">
        <f>AGOSTO!C352</f>
        <v>0</v>
      </c>
      <c r="D18" s="414" t="str">
        <f t="shared" si="0"/>
        <v>0,00%</v>
      </c>
      <c r="E18" s="617" t="e">
        <f>#REF!</f>
        <v>#REF!</v>
      </c>
      <c r="F18" s="31"/>
    </row>
    <row r="19" spans="1:10" x14ac:dyDescent="0.25">
      <c r="B19" s="413" t="str">
        <f>Fluxo_de_Caixa_Janeiro[[#This Row],[Fluxo de Caixa 2026 CTR]]</f>
        <v>2.9 - CONTA PERDA/ROUBO E BONIFICAÇÃO FILIAL</v>
      </c>
      <c r="C19" s="62">
        <f>AGOSTO!C353</f>
        <v>0</v>
      </c>
      <c r="D19" s="414" t="str">
        <f t="shared" si="0"/>
        <v>0,00%</v>
      </c>
      <c r="E19" s="617" t="e">
        <f>#REF!</f>
        <v>#REF!</v>
      </c>
      <c r="F19" s="31"/>
    </row>
    <row r="20" spans="1:10" x14ac:dyDescent="0.25">
      <c r="B20" s="413" t="str">
        <f>Fluxo_de_Caixa_Janeiro[[#This Row],[Fluxo de Caixa 2026 CTR]]</f>
        <v>4.0 - TESOURARIA FILIAL PORTO</v>
      </c>
      <c r="C20" s="62">
        <f>AGOSTO!C354</f>
        <v>0</v>
      </c>
      <c r="D20" s="414" t="str">
        <f t="shared" si="0"/>
        <v>0,00%</v>
      </c>
      <c r="E20" s="617" t="e">
        <f>#REF!</f>
        <v>#REF!</v>
      </c>
      <c r="F20" s="31"/>
      <c r="H20" s="246">
        <v>45346.31</v>
      </c>
    </row>
    <row r="21" spans="1:10" x14ac:dyDescent="0.25">
      <c r="B21" s="413" t="str">
        <f>Fluxo_de_Caixa_Janeiro[[#This Row],[Fluxo de Caixa 2026 CTR]]</f>
        <v>4.1 -  BANCO DO BRASIL C.C.61105-0 FILIAL PORTO</v>
      </c>
      <c r="C21" s="62">
        <f>AGOSTO!C355</f>
        <v>0</v>
      </c>
      <c r="D21" s="414" t="str">
        <f t="shared" si="0"/>
        <v>0,00%</v>
      </c>
      <c r="E21" s="617" t="e">
        <f>#REF!</f>
        <v>#REF!</v>
      </c>
      <c r="F21" s="31"/>
      <c r="H21" s="246">
        <f>H28-H20</f>
        <v>-45346.31</v>
      </c>
    </row>
    <row r="22" spans="1:10" x14ac:dyDescent="0.25">
      <c r="B22" s="413">
        <f>Fluxo_de_Caixa_Janeiro[[#This Row],[Fluxo de Caixa 2026 CTR]]</f>
        <v>0</v>
      </c>
      <c r="C22" s="62">
        <f>AGOSTO!C356</f>
        <v>0</v>
      </c>
      <c r="D22" s="414" t="str">
        <f t="shared" si="0"/>
        <v>0,00%</v>
      </c>
      <c r="E22" s="617" t="e">
        <f>#REF!</f>
        <v>#REF!</v>
      </c>
      <c r="F22" s="31"/>
    </row>
    <row r="23" spans="1:10" x14ac:dyDescent="0.25">
      <c r="B23" s="413" t="str">
        <f>Fluxo_de_Caixa_Janeiro[[#This Row],[Fluxo de Caixa 2026 CTR]]</f>
        <v>4.4 - MERCADO PAGO PIX FILIAL PORTO</v>
      </c>
      <c r="C23" s="62">
        <f>AGOSTO!C357</f>
        <v>0</v>
      </c>
      <c r="D23" s="414" t="str">
        <f t="shared" si="0"/>
        <v>0,00%</v>
      </c>
      <c r="E23" s="617" t="e">
        <f>#REF!</f>
        <v>#REF!</v>
      </c>
      <c r="F23" s="31"/>
    </row>
    <row r="24" spans="1:10" x14ac:dyDescent="0.25">
      <c r="B24" s="413" t="str">
        <f>Fluxo_de_Caixa_Janeiro[[#This Row],[Fluxo de Caixa 2026 CTR]]</f>
        <v>4.9 - CONTA PERDA/ROUBO E BONIFICAÇÃO FILIAL</v>
      </c>
      <c r="C24" s="62">
        <f>AGOSTO!C358</f>
        <v>0</v>
      </c>
      <c r="D24" s="414" t="str">
        <f t="shared" si="0"/>
        <v>0,00%</v>
      </c>
      <c r="E24" s="617" t="e">
        <f>#REF!</f>
        <v>#REF!</v>
      </c>
      <c r="F24" s="31"/>
    </row>
    <row r="25" spans="1:10" x14ac:dyDescent="0.25">
      <c r="B25" s="413" t="str">
        <f>Fluxo_de_Caixa_Janeiro[[#This Row],[Fluxo de Caixa 2026 CTR]]</f>
        <v>91.CARTÃO ENDERED 5099+4596+6933+8072 - ESCRITORIO</v>
      </c>
      <c r="C25" s="62">
        <f>AGOSTO!C359</f>
        <v>0</v>
      </c>
      <c r="D25" s="414" t="str">
        <f t="shared" si="0"/>
        <v>0,00%</v>
      </c>
      <c r="E25" s="617" t="e">
        <f>#REF!</f>
        <v>#REF!</v>
      </c>
      <c r="F25" s="31"/>
    </row>
    <row r="26" spans="1:10" hidden="1" x14ac:dyDescent="0.25">
      <c r="B26" s="413">
        <f>Fluxo_de_Caixa_Janeiro[[#This Row],[Fluxo de Caixa 2026 CTR]]</f>
        <v>0</v>
      </c>
      <c r="C26" s="62">
        <f>AGOSTO!C360</f>
        <v>0</v>
      </c>
      <c r="D26" s="414" t="str">
        <f t="shared" si="0"/>
        <v>0,00%</v>
      </c>
      <c r="E26" s="617" t="e">
        <f>#REF!</f>
        <v>#REF!</v>
      </c>
      <c r="F26" s="31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G29" s="246"/>
      <c r="I29" s="246"/>
      <c r="J29" s="246"/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G30" s="246"/>
      <c r="I30" s="246"/>
      <c r="J30" s="246"/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G31" s="246"/>
      <c r="I31" s="246"/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G32" s="246"/>
      <c r="I32" s="246"/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G33" s="246"/>
      <c r="I33" s="246"/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G34" s="246"/>
      <c r="I34" s="246"/>
      <c r="J34" s="246"/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G35" s="246"/>
      <c r="I35" s="246"/>
      <c r="J35" s="246"/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t="15.75" hidden="1" thickBot="1" x14ac:dyDescent="0.3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t="15.75" hidden="1" thickBot="1" x14ac:dyDescent="0.3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t="15.75" hidden="1" thickBot="1" x14ac:dyDescent="0.3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t="15.75" hidden="1" thickBot="1" x14ac:dyDescent="0.3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t="15.75" hidden="1" thickBot="1" x14ac:dyDescent="0.3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t="15.75" hidden="1" thickBot="1" x14ac:dyDescent="0.3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/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ref="C63:C69" si="6">H63+I63+J63</f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t="15.75" hidden="1" thickBot="1" x14ac:dyDescent="0.3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t="15.75" hidden="1" thickBot="1" x14ac:dyDescent="0.3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t="15.75" hidden="1" thickBot="1" x14ac:dyDescent="0.3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25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t="15.75" hidden="1" thickBot="1" x14ac:dyDescent="0.3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>H90+I90+J90</f>
        <v>0</v>
      </c>
      <c r="D90" s="438" t="str">
        <f t="shared" ref="D90:D99" si="9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ref="C91:C98" si="10">H91+I91+J91</f>
        <v>0</v>
      </c>
      <c r="D91" s="438" t="str">
        <f t="shared" si="9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 t="str">
        <f t="shared" si="9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10"/>
        <v>0</v>
      </c>
      <c r="D93" s="438" t="str">
        <f t="shared" si="9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10"/>
        <v>0</v>
      </c>
      <c r="D94" s="438" t="str">
        <f t="shared" si="9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10"/>
        <v>0</v>
      </c>
      <c r="D95" s="438" t="str">
        <f t="shared" si="9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 t="str">
        <f t="shared" si="9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 t="str">
        <f t="shared" si="9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>
        <f t="shared" si="10"/>
        <v>0</v>
      </c>
      <c r="D98" s="438" t="str">
        <f t="shared" si="9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25">
      <c r="B99" s="437">
        <f>Fluxo_de_Caixa_Janeiro[[#This Row],[Fluxo de Caixa 2026 CTR]]</f>
        <v>0</v>
      </c>
      <c r="C99" s="62"/>
      <c r="D99" s="438" t="str">
        <f t="shared" si="9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4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f t="shared" si="12"/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hidden="1" x14ac:dyDescent="0.25">
      <c r="B140" s="437" t="str">
        <f>Fluxo_de_Caixa_Janeiro[[#This Row],[Fluxo de Caixa 2026 CTR]]</f>
        <v>3.3.09. Viagens e Estadias - CPD</v>
      </c>
      <c r="C140" s="62"/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hidden="1" x14ac:dyDescent="0.25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hidden="1" x14ac:dyDescent="0.25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ht="15.75" thickBot="1" x14ac:dyDescent="0.3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ht="15.75" hidden="1" thickBot="1" x14ac:dyDescent="0.3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hidden="1" thickBot="1" x14ac:dyDescent="0.3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t="15.75" hidden="1" thickBot="1" x14ac:dyDescent="0.3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t="15.75" hidden="1" thickBot="1" x14ac:dyDescent="0.3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hidden="1" x14ac:dyDescent="0.25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ht="15.75" thickBot="1" x14ac:dyDescent="0.3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hidden="1" thickBot="1" x14ac:dyDescent="0.3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SUM(D337:D351)</f>
        <v>0</v>
      </c>
      <c r="E336" s="336">
        <v>1</v>
      </c>
      <c r="F336" s="34"/>
      <c r="I336" s="246"/>
    </row>
    <row r="337" spans="2:9" x14ac:dyDescent="0.25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25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59" si="38">C4</f>
        <v>0</v>
      </c>
      <c r="I338" s="246"/>
    </row>
    <row r="339" spans="2:9" hidden="1" x14ac:dyDescent="0.25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25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0</v>
      </c>
      <c r="I340" s="246"/>
    </row>
    <row r="341" spans="2:9" x14ac:dyDescent="0.25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25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x14ac:dyDescent="0.25">
      <c r="B343" s="413" t="str">
        <f>Fluxo_de_Caixa_Janeiro[[#This Row],[Fluxo de Caixa 2026 CTR]]</f>
        <v>1.4 - BANCO DA AMAZONIA 071730-7 MATRIZ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0</v>
      </c>
      <c r="I343" s="246"/>
    </row>
    <row r="344" spans="2:9" x14ac:dyDescent="0.25">
      <c r="B344" s="413" t="str">
        <f>Fluxo_de_Caixa_Janeiro[[#This Row],[Fluxo de Caixa 2026 CTR]]</f>
        <v>1.4.1.INVESTIMENTO CDBORE RCP TXFL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0</v>
      </c>
      <c r="I344" s="246"/>
    </row>
    <row r="345" spans="2:9" x14ac:dyDescent="0.25">
      <c r="B345" s="413" t="str">
        <f>Fluxo_de_Caixa_Janeiro[[#This Row],[Fluxo de Caixa 2026 CTR]]</f>
        <v>1.5 -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0</v>
      </c>
      <c r="I345" s="246"/>
    </row>
    <row r="346" spans="2:9" x14ac:dyDescent="0.25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25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0</v>
      </c>
      <c r="I347" s="246"/>
    </row>
    <row r="348" spans="2:9" x14ac:dyDescent="0.25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25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0</v>
      </c>
      <c r="I349" s="246"/>
    </row>
    <row r="350" spans="2:9" x14ac:dyDescent="0.25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25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x14ac:dyDescent="0.25">
      <c r="B352" s="413" t="str">
        <f>Fluxo_de_Caixa_Janeiro[[#This Row],[Fluxo de Caixa 2026 CTR]]</f>
        <v>2.4 - ITAU C.C.98669-0 FILIAL PALMAS</v>
      </c>
      <c r="C352" s="62"/>
      <c r="D352" s="414" t="str">
        <f t="shared" si="37"/>
        <v>0,00%</v>
      </c>
      <c r="E352" s="617" t="e">
        <f>#REF!</f>
        <v>#REF!</v>
      </c>
      <c r="H352" s="246">
        <f t="shared" si="38"/>
        <v>0</v>
      </c>
      <c r="I352" s="246"/>
    </row>
    <row r="353" spans="2:9" x14ac:dyDescent="0.25">
      <c r="B353" s="413" t="str">
        <f>Fluxo_de_Caixa_Janeiro[[#This Row],[Fluxo de Caixa 2026 CTR]]</f>
        <v>2.9 - CONTA PERDA/ROUBO E BONIFICAÇÃO FILIAL</v>
      </c>
      <c r="C353" s="62"/>
      <c r="D353" s="414" t="str">
        <f t="shared" si="37"/>
        <v>0,00%</v>
      </c>
      <c r="E353" s="617" t="e">
        <f>#REF!</f>
        <v>#REF!</v>
      </c>
      <c r="H353" s="246">
        <f t="shared" si="38"/>
        <v>0</v>
      </c>
      <c r="I353" s="246"/>
    </row>
    <row r="354" spans="2:9" x14ac:dyDescent="0.25">
      <c r="B354" s="413" t="str">
        <f>Fluxo_de_Caixa_Janeiro[[#This Row],[Fluxo de Caixa 2026 CTR]]</f>
        <v>4.0 - TESOURARIA FILIAL PORTO</v>
      </c>
      <c r="C354" s="62"/>
      <c r="D354" s="414" t="str">
        <f t="shared" si="37"/>
        <v>0,00%</v>
      </c>
      <c r="E354" s="617" t="e">
        <f>#REF!</f>
        <v>#REF!</v>
      </c>
      <c r="H354" s="246">
        <f t="shared" si="38"/>
        <v>0</v>
      </c>
      <c r="I354" s="246"/>
    </row>
    <row r="355" spans="2:9" x14ac:dyDescent="0.25">
      <c r="B355" s="413" t="str">
        <f>Fluxo_de_Caixa_Janeiro[[#This Row],[Fluxo de Caixa 2026 CTR]]</f>
        <v>4.1 -  BANCO DO BRASIL C.C.61105-0 FILIAL PORTO</v>
      </c>
      <c r="C355" s="62"/>
      <c r="D355" s="414" t="str">
        <f t="shared" si="37"/>
        <v>0,00%</v>
      </c>
      <c r="E355" s="617" t="e">
        <f>#REF!</f>
        <v>#REF!</v>
      </c>
      <c r="H355" s="246">
        <f t="shared" si="38"/>
        <v>0</v>
      </c>
      <c r="I355" s="246"/>
    </row>
    <row r="356" spans="2:9" x14ac:dyDescent="0.25">
      <c r="B356" s="413">
        <f>Fluxo_de_Caixa_Janeiro[[#This Row],[Fluxo de Caixa 2026 CTR]]</f>
        <v>0</v>
      </c>
      <c r="C356" s="62"/>
      <c r="D356" s="414" t="str">
        <f t="shared" si="37"/>
        <v>0,00%</v>
      </c>
      <c r="E356" s="617" t="e">
        <f>#REF!</f>
        <v>#REF!</v>
      </c>
      <c r="H356" s="246">
        <f t="shared" si="38"/>
        <v>0</v>
      </c>
      <c r="I356" s="246"/>
    </row>
    <row r="357" spans="2:9" x14ac:dyDescent="0.25">
      <c r="B357" s="413" t="str">
        <f>Fluxo_de_Caixa_Janeiro[[#This Row],[Fluxo de Caixa 2026 CTR]]</f>
        <v>4.4 - MERCADO PAGO PIX FILIAL PORTO</v>
      </c>
      <c r="C357" s="62"/>
      <c r="D357" s="414" t="str">
        <f t="shared" si="37"/>
        <v>0,00%</v>
      </c>
      <c r="E357" s="617" t="e">
        <f>#REF!</f>
        <v>#REF!</v>
      </c>
      <c r="H357" s="246">
        <f t="shared" si="38"/>
        <v>0</v>
      </c>
      <c r="I357" s="246"/>
    </row>
    <row r="358" spans="2:9" x14ac:dyDescent="0.25">
      <c r="B358" s="413" t="str">
        <f>Fluxo_de_Caixa_Janeiro[[#This Row],[Fluxo de Caixa 2026 CTR]]</f>
        <v>4.9 - CONTA PERDA/ROUBO E BONIFICAÇÃO FILIAL</v>
      </c>
      <c r="C358" s="62"/>
      <c r="D358" s="414" t="str">
        <f t="shared" si="37"/>
        <v>0,00%</v>
      </c>
      <c r="E358" s="617" t="e">
        <f>#REF!</f>
        <v>#REF!</v>
      </c>
      <c r="H358" s="246">
        <f t="shared" si="38"/>
        <v>0</v>
      </c>
      <c r="I358" s="246"/>
    </row>
    <row r="359" spans="2:9" x14ac:dyDescent="0.25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7"/>
        <v>0,00%</v>
      </c>
      <c r="E359" s="617" t="e">
        <f>#REF!</f>
        <v>#REF!</v>
      </c>
      <c r="H359" s="246">
        <f t="shared" si="38"/>
        <v>0</v>
      </c>
      <c r="I359" s="246"/>
    </row>
    <row r="360" spans="2:9" hidden="1" x14ac:dyDescent="0.25">
      <c r="B360" s="413">
        <f>Fluxo_de_Caixa_Janeiro[[#This Row],[Fluxo de Caixa 2026 CTR]]</f>
        <v>0</v>
      </c>
      <c r="C360" s="62"/>
      <c r="D360" s="414" t="str">
        <f t="shared" si="37"/>
        <v>0,00%</v>
      </c>
      <c r="E360" s="617" t="e">
        <f>#REF!</f>
        <v>#REF!</v>
      </c>
      <c r="I360" s="246"/>
    </row>
    <row r="361" spans="2:9" ht="24" thickBot="1" x14ac:dyDescent="0.4">
      <c r="B361" s="463"/>
      <c r="C361" s="464">
        <f>SUM(C337:C359)-C335</f>
        <v>0</v>
      </c>
      <c r="D361" s="465" t="str">
        <f>IFERROR(C361/C336,"0,00%")</f>
        <v>0,00%</v>
      </c>
      <c r="E361" s="338" t="e">
        <f>#REF!</f>
        <v>#REF!</v>
      </c>
      <c r="H361" s="246">
        <f>SUM(H337:H360)</f>
        <v>0</v>
      </c>
      <c r="I361" s="246"/>
    </row>
    <row r="362" spans="2:9" x14ac:dyDescent="0.25"/>
    <row r="363" spans="2:9" x14ac:dyDescent="0.25"/>
    <row r="365" spans="2:9" x14ac:dyDescent="0.25"/>
    <row r="366" spans="2:9" x14ac:dyDescent="0.25"/>
    <row r="367" spans="2:9" x14ac:dyDescent="0.25"/>
    <row r="369" spans="2:3" x14ac:dyDescent="0.25"/>
    <row r="370" spans="2:3" x14ac:dyDescent="0.25">
      <c r="B370" t="s">
        <v>243</v>
      </c>
      <c r="C370">
        <v>3212.3</v>
      </c>
    </row>
    <row r="372" spans="2:3" x14ac:dyDescent="0.25">
      <c r="B372" t="s">
        <v>244</v>
      </c>
      <c r="C372">
        <v>195646.29</v>
      </c>
    </row>
    <row r="373" spans="2:3" x14ac:dyDescent="0.25">
      <c r="B373" t="s">
        <v>245</v>
      </c>
      <c r="C373">
        <v>1605.81</v>
      </c>
    </row>
    <row r="374" spans="2:3" x14ac:dyDescent="0.25">
      <c r="C374">
        <v>120450.8</v>
      </c>
    </row>
    <row r="376" spans="2:3" x14ac:dyDescent="0.25"/>
    <row r="377" spans="2:3" x14ac:dyDescent="0.25"/>
    <row r="378" spans="2:3" x14ac:dyDescent="0.25"/>
    <row r="379" spans="2:3" x14ac:dyDescent="0.25"/>
    <row r="381" spans="2:3" x14ac:dyDescent="0.25"/>
    <row r="382" spans="2:3" x14ac:dyDescent="0.25"/>
    <row r="383" spans="2:3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2" x14ac:dyDescent="0.25"/>
    <row r="393" x14ac:dyDescent="0.25"/>
    <row r="394" x14ac:dyDescent="0.25"/>
    <row r="395" x14ac:dyDescent="0.25"/>
    <row r="397" x14ac:dyDescent="0.25"/>
    <row r="398" x14ac:dyDescent="0.25"/>
    <row r="399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</sheetData>
  <protectedRanges>
    <protectedRange sqref="C3:C26" name="Intervalo1"/>
    <protectedRange sqref="C344:C360" name="Saldo Final de Banco"/>
    <protectedRange sqref="C337:C343" name="Saldo Final de Banco_1"/>
  </protectedRanges>
  <conditionalFormatting sqref="C86">
    <cfRule type="cellIs" dxfId="302" priority="1" operator="lessThan">
      <formula>0</formula>
    </cfRule>
  </conditionalFormatting>
  <conditionalFormatting sqref="C237">
    <cfRule type="cellIs" dxfId="301" priority="2" operator="greaterThan">
      <formula>0</formula>
    </cfRule>
    <cfRule type="cellIs" dxfId="300" priority="3" operator="lessThan">
      <formula>0</formula>
    </cfRule>
    <cfRule type="cellIs" dxfId="299" priority="4" operator="greaterThan">
      <formula>0</formula>
    </cfRule>
  </conditionalFormatting>
  <conditionalFormatting sqref="C334">
    <cfRule type="cellIs" dxfId="298" priority="5" operator="lessThan">
      <formula>0</formula>
    </cfRule>
    <cfRule type="cellIs" dxfId="297" priority="6" operator="greaterThan">
      <formula>0</formula>
    </cfRule>
  </conditionalFormatting>
  <conditionalFormatting sqref="C335">
    <cfRule type="cellIs" dxfId="296" priority="7" operator="lessThan">
      <formula>0</formula>
    </cfRule>
    <cfRule type="cellIs" dxfId="295" priority="8" operator="greaterThan">
      <formula>0.001</formula>
    </cfRule>
    <cfRule type="cellIs" dxfId="294" priority="9" operator="lessThan">
      <formula>0</formula>
    </cfRule>
    <cfRule type="cellIs" dxfId="293" priority="10" operator="greaterThan">
      <formula>0</formula>
    </cfRule>
    <cfRule type="aboveAverage" dxfId="292" priority="11" aboveAverage="0"/>
  </conditionalFormatting>
  <conditionalFormatting sqref="D86">
    <cfRule type="cellIs" dxfId="291" priority="29" operator="lessThan">
      <formula>0</formula>
    </cfRule>
  </conditionalFormatting>
  <conditionalFormatting sqref="D237 D334">
    <cfRule type="cellIs" dxfId="290" priority="36" operator="greaterThan">
      <formula>0</formula>
    </cfRule>
  </conditionalFormatting>
  <conditionalFormatting sqref="D237">
    <cfRule type="cellIs" dxfId="289" priority="32" operator="lessThan">
      <formula>0</formula>
    </cfRule>
    <cfRule type="cellIs" dxfId="288" priority="31" operator="greaterThan">
      <formula>0</formula>
    </cfRule>
  </conditionalFormatting>
  <conditionalFormatting sqref="D334">
    <cfRule type="cellIs" dxfId="287" priority="35" operator="lessThan">
      <formula>0</formula>
    </cfRule>
  </conditionalFormatting>
  <conditionalFormatting sqref="D335">
    <cfRule type="cellIs" dxfId="286" priority="34" operator="greaterThan">
      <formula>0</formula>
    </cfRule>
    <cfRule type="cellIs" dxfId="285" priority="33" operator="lessThan">
      <formula>0</formula>
    </cfRule>
    <cfRule type="cellIs" dxfId="284" priority="30" operator="greaterThan">
      <formula>0</formula>
    </cfRule>
    <cfRule type="aboveAverage" dxfId="283" priority="37" aboveAverage="0"/>
  </conditionalFormatting>
  <conditionalFormatting sqref="E86">
    <cfRule type="cellIs" dxfId="282" priority="20" operator="lessThan">
      <formula>0</formula>
    </cfRule>
  </conditionalFormatting>
  <conditionalFormatting sqref="E237 E334">
    <cfRule type="cellIs" dxfId="281" priority="27" operator="greaterThan">
      <formula>0</formula>
    </cfRule>
  </conditionalFormatting>
  <conditionalFormatting sqref="E237">
    <cfRule type="cellIs" dxfId="280" priority="23" operator="lessThan">
      <formula>0</formula>
    </cfRule>
    <cfRule type="cellIs" dxfId="279" priority="22" operator="greaterThan">
      <formula>0</formula>
    </cfRule>
  </conditionalFormatting>
  <conditionalFormatting sqref="E334">
    <cfRule type="cellIs" dxfId="278" priority="26" operator="lessThan">
      <formula>0</formula>
    </cfRule>
  </conditionalFormatting>
  <conditionalFormatting sqref="E335">
    <cfRule type="aboveAverage" dxfId="277" priority="28" aboveAverage="0"/>
    <cfRule type="cellIs" dxfId="276" priority="21" operator="greaterThan">
      <formula>0</formula>
    </cfRule>
    <cfRule type="cellIs" dxfId="275" priority="24" operator="lessThan">
      <formula>0</formula>
    </cfRule>
    <cfRule type="cellIs" dxfId="274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73" priority="101" operator="containsText" text="FALSO">
      <formula>NOT(ISERROR(SEARCH("FALSO",F27)))</formula>
    </cfRule>
    <cfRule type="containsText" dxfId="272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271" priority="40" operator="containsText" text="FALSO">
      <formula>NOT(ISERROR(SEARCH("FALSO",F28)))</formula>
    </cfRule>
    <cfRule type="containsText" dxfId="270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269" priority="17" operator="containsText" text="Verd">
      <formula>NOT(ISERROR(SEARCH("Verd",F29)))</formula>
    </cfRule>
    <cfRule type="containsText" dxfId="268" priority="16" operator="containsText" text="Fals">
      <formula>NOT(ISERROR(SEARCH("Fals",F29)))</formula>
    </cfRule>
  </conditionalFormatting>
  <conditionalFormatting sqref="F49:F86">
    <cfRule type="containsText" dxfId="267" priority="15" operator="containsText" text="Verd">
      <formula>NOT(ISERROR(SEARCH("Verd",F49)))</formula>
    </cfRule>
    <cfRule type="containsText" dxfId="266" priority="14" operator="containsText" text="Fals">
      <formula>NOT(ISERROR(SEARCH("Fals",F49)))</formula>
    </cfRule>
  </conditionalFormatting>
  <conditionalFormatting sqref="F88:F271">
    <cfRule type="containsText" dxfId="265" priority="19" operator="containsText" text="Verd">
      <formula>NOT(ISERROR(SEARCH("Verd",F88)))</formula>
    </cfRule>
    <cfRule type="containsText" dxfId="264" priority="18" operator="containsText" text="Fals">
      <formula>NOT(ISERROR(SEARCH("Fals",F88)))</formula>
    </cfRule>
  </conditionalFormatting>
  <conditionalFormatting sqref="F273:F330">
    <cfRule type="containsText" dxfId="263" priority="13" operator="containsText" text="Verd">
      <formula>NOT(ISERROR(SEARCH("Verd",F273)))</formula>
    </cfRule>
    <cfRule type="containsText" dxfId="262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Width="3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27CC-FF57-41F8-B34E-A1F3E57E987A}">
  <sheetPr>
    <tabColor rgb="FFFFFF00"/>
    <pageSetUpPr autoPageBreaks="0"/>
  </sheetPr>
  <dimension ref="A1:HM424"/>
  <sheetViews>
    <sheetView zoomScaleNormal="100" zoomScaleSheetLayoutView="100" workbookViewId="0">
      <pane xSplit="2" ySplit="1" topLeftCell="I2" activePane="bottomRight" state="frozen"/>
      <selection activeCell="G6" sqref="G6"/>
      <selection pane="topRight" activeCell="G6" sqref="G6"/>
      <selection pane="bottomLeft" activeCell="G6" sqref="G6"/>
      <selection pane="bottomRight" activeCell="P2" sqref="P2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8" width="27.42578125" hidden="1" customWidth="1"/>
    <col min="9" max="11" width="27.42578125" customWidth="1"/>
    <col min="12" max="14" width="27.42578125" hidden="1" customWidth="1"/>
    <col min="15" max="15" width="30.5703125" style="246" bestFit="1" customWidth="1"/>
    <col min="16" max="16" width="16.85546875" style="6" bestFit="1" customWidth="1"/>
    <col min="17" max="17" width="15.42578125" style="9" customWidth="1"/>
    <col min="18" max="18" width="12.42578125" style="33" bestFit="1" customWidth="1"/>
    <col min="19" max="19" width="13.140625" customWidth="1"/>
    <col min="20" max="20" width="13.7109375" customWidth="1"/>
    <col min="21" max="21" width="11.140625" customWidth="1"/>
    <col min="22" max="22" width="22.28515625" hidden="1" customWidth="1"/>
    <col min="23" max="23" width="20.140625" hidden="1" customWidth="1"/>
    <col min="24" max="24" width="24.7109375" hidden="1" customWidth="1"/>
    <col min="25" max="16384" width="9.140625" hidden="1"/>
  </cols>
  <sheetData>
    <row r="1" spans="1:18" ht="36.75" thickBot="1" x14ac:dyDescent="0.3">
      <c r="B1" s="408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79" t="s">
        <v>317</v>
      </c>
      <c r="Q1" s="61" t="s">
        <v>168</v>
      </c>
      <c r="R1" s="30"/>
    </row>
    <row r="2" spans="1:18" s="1" customFormat="1" ht="24" thickBot="1" x14ac:dyDescent="0.4">
      <c r="A2" s="10" t="s">
        <v>52</v>
      </c>
      <c r="B2" s="46" t="str">
        <f>Fluxo_de_Caixa_Janeiro[[#This Row],[Fluxo de Caixa 2026 CTR]]</f>
        <v>Disponíveis Nas Contas Movimento inicial</v>
      </c>
      <c r="C2" s="156"/>
      <c r="D2" s="156"/>
      <c r="E2" s="156"/>
      <c r="F2" s="156"/>
      <c r="G2" s="156"/>
      <c r="H2" s="154"/>
      <c r="I2" s="156">
        <f>Fluxo_de_Caixa_Janeiro3459117[[#This Row],[JULHO]]</f>
        <v>0</v>
      </c>
      <c r="J2" s="156">
        <f>Fluxo_de_Caixa_Janeiro345911710[[#This Row],[AGOSTO]]</f>
        <v>0</v>
      </c>
      <c r="K2" s="156">
        <f>Fluxo_de_Caixa_Janeiro34591171012[[#This Row],[SETEMBRO]]</f>
        <v>0</v>
      </c>
      <c r="L2" s="156"/>
      <c r="M2" s="156"/>
      <c r="N2" s="154"/>
      <c r="O2" s="207">
        <f>Fluxo_de_Caixa_Janeiro310201314[[#This Row],[Julho]]</f>
        <v>0</v>
      </c>
      <c r="P2" s="17">
        <f>SUM(P3:P17)</f>
        <v>0</v>
      </c>
      <c r="Q2" s="65"/>
      <c r="R2" s="31"/>
    </row>
    <row r="3" spans="1:18" x14ac:dyDescent="0.25">
      <c r="B3" s="47" t="str">
        <f>Fluxo_de_Caixa_Janeiro[[#This Row],[Fluxo de Caixa 2026 CTR]]</f>
        <v>1.0 - TESOURARIA MATRIZ PALMAS</v>
      </c>
      <c r="C3" s="259"/>
      <c r="D3" s="260"/>
      <c r="E3" s="260"/>
      <c r="F3" s="260"/>
      <c r="G3" s="260"/>
      <c r="H3" s="261"/>
      <c r="I3" s="298">
        <f>Fluxo_de_Caixa_Janeiro3459117[[#This Row],[JULHO]]</f>
        <v>0</v>
      </c>
      <c r="J3" s="260">
        <f>Fluxo_de_Caixa_Janeiro345911710[[#This Row],[AGOSTO]]</f>
        <v>0</v>
      </c>
      <c r="K3" s="260">
        <f>Fluxo_de_Caixa_Janeiro34591171012[[#This Row],[SETEMBRO]]</f>
        <v>0</v>
      </c>
      <c r="L3" s="260"/>
      <c r="M3" s="260"/>
      <c r="N3" s="261"/>
      <c r="O3" s="208">
        <f>Fluxo_de_Caixa_Janeiro310201314[[#This Row],[Julho]]</f>
        <v>0</v>
      </c>
      <c r="P3" s="28" t="str">
        <f>IF(O3=0,"0,00%",O3/$O$2)</f>
        <v>0,00%</v>
      </c>
      <c r="Q3" s="66"/>
      <c r="R3" s="31"/>
    </row>
    <row r="4" spans="1:18" x14ac:dyDescent="0.25">
      <c r="B4" s="47" t="str">
        <f>Fluxo_de_Caixa_Janeiro[[#This Row],[Fluxo de Caixa 2026 CTR]]</f>
        <v>1.1 - BANCO DO BRASIL C.C.60409-7 MATRIZ</v>
      </c>
      <c r="C4" s="256"/>
      <c r="D4" s="262"/>
      <c r="E4" s="262"/>
      <c r="F4" s="262"/>
      <c r="G4" s="262"/>
      <c r="H4" s="263"/>
      <c r="I4" s="262">
        <f>Fluxo_de_Caixa_Janeiro3459117[[#This Row],[JULHO]]</f>
        <v>0</v>
      </c>
      <c r="J4" s="262">
        <f>Fluxo_de_Caixa_Janeiro345911710[[#This Row],[AGOSTO]]</f>
        <v>0</v>
      </c>
      <c r="K4" s="262">
        <f>Fluxo_de_Caixa_Janeiro34591171012[[#This Row],[SETEMBRO]]</f>
        <v>0</v>
      </c>
      <c r="L4" s="262"/>
      <c r="M4" s="262"/>
      <c r="N4" s="263"/>
      <c r="O4" s="208">
        <f>Fluxo_de_Caixa_Janeiro310201314[[#This Row],[Julho]]</f>
        <v>0</v>
      </c>
      <c r="P4" s="138" t="str">
        <f t="shared" ref="P4:P16" si="0">IF(O4=0,"0,00%",O4/$O$2)</f>
        <v>0,00%</v>
      </c>
      <c r="Q4" s="66"/>
      <c r="R4" s="31"/>
    </row>
    <row r="5" spans="1:18" x14ac:dyDescent="0.25">
      <c r="B5" s="47">
        <f>Fluxo_de_Caixa_Janeiro[[#This Row],[Fluxo de Caixa 2026 CTR]]</f>
        <v>0</v>
      </c>
      <c r="C5" s="256"/>
      <c r="D5" s="262"/>
      <c r="E5" s="262"/>
      <c r="F5" s="262"/>
      <c r="G5" s="262"/>
      <c r="H5" s="263"/>
      <c r="I5" s="262">
        <f>Fluxo_de_Caixa_Janeiro3459117[[#This Row],[JULHO]]</f>
        <v>0</v>
      </c>
      <c r="J5" s="262">
        <f>Fluxo_de_Caixa_Janeiro345911710[[#This Row],[AGOSTO]]</f>
        <v>0</v>
      </c>
      <c r="K5" s="262">
        <f>Fluxo_de_Caixa_Janeiro34591171012[[#This Row],[SETEMBRO]]</f>
        <v>0</v>
      </c>
      <c r="L5" s="262"/>
      <c r="M5" s="262"/>
      <c r="N5" s="263"/>
      <c r="O5" s="208">
        <f>Fluxo_de_Caixa_Janeiro310201314[[#This Row],[Julho]]</f>
        <v>0</v>
      </c>
      <c r="P5" s="138" t="str">
        <f t="shared" si="0"/>
        <v>0,00%</v>
      </c>
      <c r="Q5" s="66"/>
      <c r="R5" s="31"/>
    </row>
    <row r="6" spans="1:18" x14ac:dyDescent="0.25">
      <c r="B6" s="47" t="str">
        <f>Fluxo_de_Caixa_Janeiro[[#This Row],[Fluxo de Caixa 2026 CTR]]</f>
        <v>1.2-BRADESCO 15232-3 MATRIZ</v>
      </c>
      <c r="C6" s="256"/>
      <c r="D6" s="262"/>
      <c r="E6" s="262"/>
      <c r="F6" s="262"/>
      <c r="G6" s="262"/>
      <c r="H6" s="263"/>
      <c r="I6" s="262">
        <f>Fluxo_de_Caixa_Janeiro3459117[[#This Row],[JULHO]]</f>
        <v>0</v>
      </c>
      <c r="J6" s="262">
        <f>Fluxo_de_Caixa_Janeiro345911710[[#This Row],[AGOSTO]]</f>
        <v>0</v>
      </c>
      <c r="K6" s="262">
        <f>Fluxo_de_Caixa_Janeiro34591171012[[#This Row],[SETEMBRO]]</f>
        <v>0</v>
      </c>
      <c r="L6" s="262"/>
      <c r="M6" s="262"/>
      <c r="N6" s="263"/>
      <c r="O6" s="208">
        <f>Fluxo_de_Caixa_Janeiro310201314[[#This Row],[Julho]]</f>
        <v>0</v>
      </c>
      <c r="P6" s="138" t="str">
        <f t="shared" si="0"/>
        <v>0,00%</v>
      </c>
      <c r="Q6" s="66"/>
      <c r="R6" s="31"/>
    </row>
    <row r="7" spans="1:18" x14ac:dyDescent="0.25">
      <c r="B7" s="47">
        <f>Fluxo_de_Caixa_Janeiro[[#This Row],[Fluxo de Caixa 2026 CTR]]</f>
        <v>0</v>
      </c>
      <c r="C7" s="256"/>
      <c r="D7" s="262"/>
      <c r="E7" s="262"/>
      <c r="F7" s="262"/>
      <c r="G7" s="262"/>
      <c r="H7" s="263"/>
      <c r="I7" s="262">
        <f>Fluxo_de_Caixa_Janeiro3459117[[#This Row],[JULHO]]</f>
        <v>0</v>
      </c>
      <c r="J7" s="262">
        <f>Fluxo_de_Caixa_Janeiro345911710[[#This Row],[AGOSTO]]</f>
        <v>0</v>
      </c>
      <c r="K7" s="262">
        <f>Fluxo_de_Caixa_Janeiro34591171012[[#This Row],[SETEMBRO]]</f>
        <v>0</v>
      </c>
      <c r="L7" s="262"/>
      <c r="M7" s="262"/>
      <c r="N7" s="263"/>
      <c r="O7" s="208">
        <f>Fluxo_de_Caixa_Janeiro310201314[[#This Row],[Julho]]</f>
        <v>0</v>
      </c>
      <c r="P7" s="138" t="str">
        <f t="shared" si="0"/>
        <v>0,00%</v>
      </c>
      <c r="Q7" s="66"/>
      <c r="R7" s="31"/>
    </row>
    <row r="8" spans="1:18" x14ac:dyDescent="0.25">
      <c r="B8" s="47" t="str">
        <f>Fluxo_de_Caixa_Janeiro[[#This Row],[Fluxo de Caixa 2026 CTR]]</f>
        <v>1.3 - BANCO STONE MATRIZ C.C 40256726-7</v>
      </c>
      <c r="C8" s="256"/>
      <c r="D8" s="262"/>
      <c r="E8" s="262"/>
      <c r="F8" s="262"/>
      <c r="G8" s="262"/>
      <c r="H8" s="263"/>
      <c r="I8" s="262">
        <f>Fluxo_de_Caixa_Janeiro3459117[[#This Row],[JULHO]]</f>
        <v>0</v>
      </c>
      <c r="J8" s="262">
        <f>Fluxo_de_Caixa_Janeiro345911710[[#This Row],[AGOSTO]]</f>
        <v>0</v>
      </c>
      <c r="K8" s="262">
        <f>Fluxo_de_Caixa_Janeiro34591171012[[#This Row],[SETEMBRO]]</f>
        <v>0</v>
      </c>
      <c r="L8" s="262"/>
      <c r="M8" s="262"/>
      <c r="N8" s="263"/>
      <c r="O8" s="208">
        <f>Fluxo_de_Caixa_Janeiro310201314[[#This Row],[Julho]]</f>
        <v>0</v>
      </c>
      <c r="P8" s="138" t="str">
        <f t="shared" si="0"/>
        <v>0,00%</v>
      </c>
      <c r="Q8" s="66"/>
      <c r="R8" s="31"/>
    </row>
    <row r="9" spans="1:18" x14ac:dyDescent="0.25">
      <c r="B9" s="47" t="str">
        <f>Fluxo_de_Caixa_Janeiro[[#This Row],[Fluxo de Caixa 2026 CTR]]</f>
        <v>1.4 - BANCO DA AMAZONIA 071730-7 MATRIZ</v>
      </c>
      <c r="C9" s="256"/>
      <c r="D9" s="262"/>
      <c r="E9" s="262"/>
      <c r="F9" s="262"/>
      <c r="G9" s="262"/>
      <c r="H9" s="263"/>
      <c r="I9" s="262">
        <f>Fluxo_de_Caixa_Janeiro3459117[[#This Row],[JULHO]]</f>
        <v>0</v>
      </c>
      <c r="J9" s="262">
        <f>Fluxo_de_Caixa_Janeiro345911710[[#This Row],[AGOSTO]]</f>
        <v>0</v>
      </c>
      <c r="K9" s="262">
        <f>Fluxo_de_Caixa_Janeiro34591171012[[#This Row],[SETEMBRO]]</f>
        <v>0</v>
      </c>
      <c r="L9" s="262"/>
      <c r="M9" s="262"/>
      <c r="N9" s="263"/>
      <c r="O9" s="208">
        <f>Fluxo_de_Caixa_Janeiro310201314[[#This Row],[Julho]]</f>
        <v>0</v>
      </c>
      <c r="P9" s="138" t="str">
        <f t="shared" si="0"/>
        <v>0,00%</v>
      </c>
      <c r="Q9" s="66"/>
      <c r="R9" s="31"/>
    </row>
    <row r="10" spans="1:18" x14ac:dyDescent="0.25">
      <c r="B10" s="47" t="str">
        <f>Fluxo_de_Caixa_Janeiro[[#This Row],[Fluxo de Caixa 2026 CTR]]</f>
        <v>1.4.1.INVESTIMENTO CDBORE RCP TXFL</v>
      </c>
      <c r="C10" s="256"/>
      <c r="D10" s="262"/>
      <c r="E10" s="262"/>
      <c r="F10" s="262"/>
      <c r="G10" s="262"/>
      <c r="H10" s="263"/>
      <c r="I10" s="262">
        <f>Fluxo_de_Caixa_Janeiro3459117[[#This Row],[JULHO]]</f>
        <v>0</v>
      </c>
      <c r="J10" s="262">
        <f>Fluxo_de_Caixa_Janeiro345911710[[#This Row],[AGOSTO]]</f>
        <v>0</v>
      </c>
      <c r="K10" s="262">
        <f>Fluxo_de_Caixa_Janeiro34591171012[[#This Row],[SETEMBRO]]</f>
        <v>0</v>
      </c>
      <c r="L10" s="262"/>
      <c r="M10" s="262"/>
      <c r="N10" s="263"/>
      <c r="O10" s="208">
        <f>Fluxo_de_Caixa_Janeiro310201314[[#This Row],[Julho]]</f>
        <v>0</v>
      </c>
      <c r="P10" s="138" t="str">
        <f t="shared" si="0"/>
        <v>0,00%</v>
      </c>
      <c r="Q10" s="66"/>
      <c r="R10" s="31"/>
    </row>
    <row r="11" spans="1:18" x14ac:dyDescent="0.25">
      <c r="B11" s="47" t="str">
        <f>Fluxo_de_Caixa_Janeiro[[#This Row],[Fluxo de Caixa 2026 CTR]]</f>
        <v>1.5 -  ITAU C.C.98671-6 MATRIZ</v>
      </c>
      <c r="C11" s="256"/>
      <c r="D11" s="262"/>
      <c r="E11" s="262"/>
      <c r="F11" s="262"/>
      <c r="G11" s="262"/>
      <c r="H11" s="263"/>
      <c r="I11" s="262">
        <f>Fluxo_de_Caixa_Janeiro3459117[[#This Row],[JULHO]]</f>
        <v>0</v>
      </c>
      <c r="J11" s="262">
        <f>Fluxo_de_Caixa_Janeiro345911710[[#This Row],[AGOSTO]]</f>
        <v>0</v>
      </c>
      <c r="K11" s="262">
        <f>Fluxo_de_Caixa_Janeiro34591171012[[#This Row],[SETEMBRO]]</f>
        <v>0</v>
      </c>
      <c r="L11" s="262"/>
      <c r="M11" s="262"/>
      <c r="N11" s="263"/>
      <c r="O11" s="208">
        <f>Fluxo_de_Caixa_Janeiro310201314[[#This Row],[Julho]]</f>
        <v>0</v>
      </c>
      <c r="P11" s="138" t="str">
        <f t="shared" si="0"/>
        <v>0,00%</v>
      </c>
      <c r="Q11" s="66"/>
      <c r="R11" s="31"/>
    </row>
    <row r="12" spans="1:18" x14ac:dyDescent="0.25">
      <c r="B12" s="47" t="str">
        <f>Fluxo_de_Caixa_Janeiro[[#This Row],[Fluxo de Caixa 2026 CTR]]</f>
        <v>1.5.03. ITAU C.C 83290-2 GARANTIDA</v>
      </c>
      <c r="C12" s="256"/>
      <c r="D12" s="262"/>
      <c r="E12" s="262"/>
      <c r="F12" s="262"/>
      <c r="G12" s="262"/>
      <c r="H12" s="263"/>
      <c r="I12" s="262">
        <f>Fluxo_de_Caixa_Janeiro3459117[[#This Row],[JULHO]]</f>
        <v>0</v>
      </c>
      <c r="J12" s="262">
        <f>Fluxo_de_Caixa_Janeiro345911710[[#This Row],[AGOSTO]]</f>
        <v>0</v>
      </c>
      <c r="K12" s="262">
        <f>Fluxo_de_Caixa_Janeiro34591171012[[#This Row],[SETEMBRO]]</f>
        <v>0</v>
      </c>
      <c r="L12" s="262"/>
      <c r="M12" s="262"/>
      <c r="N12" s="263"/>
      <c r="O12" s="208">
        <f>Fluxo_de_Caixa_Janeiro310201314[[#This Row],[Julho]]</f>
        <v>0</v>
      </c>
      <c r="P12" s="138" t="str">
        <f t="shared" si="0"/>
        <v>0,00%</v>
      </c>
      <c r="Q12" s="66"/>
      <c r="R12" s="31"/>
    </row>
    <row r="13" spans="1:18" x14ac:dyDescent="0.25">
      <c r="B13" s="47" t="str">
        <f>Fluxo_de_Caixa_Janeiro[[#This Row],[Fluxo de Caixa 2026 CTR]]</f>
        <v>1.9 - CONTA PERDA/ROUBO/BONIFICAÇÃO E DOAÇÃO</v>
      </c>
      <c r="C13" s="256"/>
      <c r="D13" s="262"/>
      <c r="E13" s="262"/>
      <c r="F13" s="262"/>
      <c r="G13" s="262"/>
      <c r="H13" s="263"/>
      <c r="I13" s="262">
        <f>Fluxo_de_Caixa_Janeiro3459117[[#This Row],[JULHO]]</f>
        <v>0</v>
      </c>
      <c r="J13" s="262">
        <f>Fluxo_de_Caixa_Janeiro345911710[[#This Row],[AGOSTO]]</f>
        <v>0</v>
      </c>
      <c r="K13" s="262">
        <f>Fluxo_de_Caixa_Janeiro34591171012[[#This Row],[SETEMBRO]]</f>
        <v>0</v>
      </c>
      <c r="L13" s="262"/>
      <c r="M13" s="262"/>
      <c r="N13" s="263"/>
      <c r="O13" s="208">
        <f>Fluxo_de_Caixa_Janeiro310201314[[#This Row],[Julho]]</f>
        <v>0</v>
      </c>
      <c r="P13" s="138" t="str">
        <f t="shared" si="0"/>
        <v>0,00%</v>
      </c>
      <c r="Q13" s="66"/>
      <c r="R13" s="31"/>
    </row>
    <row r="14" spans="1:18" x14ac:dyDescent="0.25">
      <c r="B14" s="47">
        <f>Fluxo_de_Caixa_Janeiro[[#This Row],[Fluxo de Caixa 2026 CTR]]</f>
        <v>0</v>
      </c>
      <c r="C14" s="256"/>
      <c r="D14" s="262"/>
      <c r="E14" s="262"/>
      <c r="F14" s="262"/>
      <c r="G14" s="262"/>
      <c r="H14" s="263"/>
      <c r="I14" s="262">
        <f>Fluxo_de_Caixa_Janeiro3459117[[#This Row],[JULHO]]</f>
        <v>0</v>
      </c>
      <c r="J14" s="262">
        <f>Fluxo_de_Caixa_Janeiro345911710[[#This Row],[AGOSTO]]</f>
        <v>0</v>
      </c>
      <c r="K14" s="262">
        <f>Fluxo_de_Caixa_Janeiro34591171012[[#This Row],[SETEMBRO]]</f>
        <v>0</v>
      </c>
      <c r="L14" s="262"/>
      <c r="M14" s="262"/>
      <c r="N14" s="263"/>
      <c r="O14" s="208">
        <f>Fluxo_de_Caixa_Janeiro310201314[[#This Row],[Julho]]</f>
        <v>0</v>
      </c>
      <c r="P14" s="138" t="str">
        <f t="shared" si="0"/>
        <v>0,00%</v>
      </c>
      <c r="Q14" s="66"/>
      <c r="R14" s="31"/>
    </row>
    <row r="15" spans="1:18" x14ac:dyDescent="0.25">
      <c r="B15" s="47" t="str">
        <f>Fluxo_de_Caixa_Janeiro[[#This Row],[Fluxo de Caixa 2026 CTR]]</f>
        <v>2.1 - BANCO DO BRASIL C.C.60638-3 FILIAL PALMAS</v>
      </c>
      <c r="C15" s="256"/>
      <c r="D15" s="262"/>
      <c r="E15" s="262"/>
      <c r="F15" s="262"/>
      <c r="G15" s="262"/>
      <c r="H15" s="263"/>
      <c r="I15" s="262">
        <f>Fluxo_de_Caixa_Janeiro3459117[[#This Row],[JULHO]]</f>
        <v>0</v>
      </c>
      <c r="J15" s="262">
        <f>Fluxo_de_Caixa_Janeiro345911710[[#This Row],[AGOSTO]]</f>
        <v>0</v>
      </c>
      <c r="K15" s="262">
        <f>Fluxo_de_Caixa_Janeiro34591171012[[#This Row],[SETEMBRO]]</f>
        <v>0</v>
      </c>
      <c r="L15" s="262"/>
      <c r="M15" s="262"/>
      <c r="N15" s="263"/>
      <c r="O15" s="208">
        <f>Fluxo_de_Caixa_Janeiro310201314[[#This Row],[Julho]]</f>
        <v>0</v>
      </c>
      <c r="P15" s="138" t="str">
        <f t="shared" si="0"/>
        <v>0,00%</v>
      </c>
      <c r="Q15" s="66"/>
      <c r="R15" s="31"/>
    </row>
    <row r="16" spans="1:18" x14ac:dyDescent="0.25">
      <c r="B16" s="47">
        <f>Fluxo_de_Caixa_Janeiro[[#This Row],[Fluxo de Caixa 2026 CTR]]</f>
        <v>0</v>
      </c>
      <c r="C16" s="256"/>
      <c r="D16" s="262"/>
      <c r="E16" s="262"/>
      <c r="F16" s="262"/>
      <c r="G16" s="262"/>
      <c r="H16" s="263"/>
      <c r="I16" s="262">
        <f>Fluxo_de_Caixa_Janeiro3459117[[#This Row],[JULHO]]</f>
        <v>0</v>
      </c>
      <c r="J16" s="262">
        <f>Fluxo_de_Caixa_Janeiro345911710[[#This Row],[AGOSTO]]</f>
        <v>0</v>
      </c>
      <c r="K16" s="262">
        <f>Fluxo_de_Caixa_Janeiro34591171012[[#This Row],[SETEMBRO]]</f>
        <v>0</v>
      </c>
      <c r="L16" s="262"/>
      <c r="M16" s="262"/>
      <c r="N16" s="263"/>
      <c r="O16" s="208">
        <f>Fluxo_de_Caixa_Janeiro310201314[[#This Row],[Julho]]</f>
        <v>0</v>
      </c>
      <c r="P16" s="138" t="str">
        <f t="shared" si="0"/>
        <v>0,00%</v>
      </c>
      <c r="Q16" s="66"/>
      <c r="R16" s="31"/>
    </row>
    <row r="17" spans="1:18" x14ac:dyDescent="0.25">
      <c r="B17" s="47">
        <f>Fluxo_de_Caixa_Janeiro[[#This Row],[Fluxo de Caixa 2026 CTR]]</f>
        <v>0</v>
      </c>
      <c r="C17" s="256"/>
      <c r="D17" s="262"/>
      <c r="E17" s="262"/>
      <c r="F17" s="262"/>
      <c r="G17" s="262"/>
      <c r="H17" s="263"/>
      <c r="I17" s="262">
        <f>Fluxo_de_Caixa_Janeiro3459117[[#This Row],[JULHO]]</f>
        <v>0</v>
      </c>
      <c r="J17" s="262">
        <f>Fluxo_de_Caixa_Janeiro345911710[[#This Row],[AGOSTO]]</f>
        <v>0</v>
      </c>
      <c r="K17" s="262">
        <f>Fluxo_de_Caixa_Janeiro34591171012[[#This Row],[SETEMBRO]]</f>
        <v>0</v>
      </c>
      <c r="L17" s="262"/>
      <c r="M17" s="262"/>
      <c r="N17" s="263"/>
      <c r="O17" s="208">
        <f>Fluxo_de_Caixa_Janeiro310201314[[#This Row],[Julho]]</f>
        <v>0</v>
      </c>
      <c r="P17" s="138" t="str">
        <f t="shared" ref="P17:P26" si="1">IF(O17=0,"0,00%",O17/$O$2)</f>
        <v>0,00%</v>
      </c>
      <c r="Q17" s="66"/>
      <c r="R17" s="31"/>
    </row>
    <row r="18" spans="1:18" x14ac:dyDescent="0.25">
      <c r="B18" s="47" t="str">
        <f>Fluxo_de_Caixa_Janeiro[[#This Row],[Fluxo de Caixa 2026 CTR]]</f>
        <v>2.4 - ITAU C.C.98669-0 FILIAL PALMAS</v>
      </c>
      <c r="C18" s="256"/>
      <c r="D18" s="262"/>
      <c r="E18" s="262"/>
      <c r="F18" s="262"/>
      <c r="G18" s="262"/>
      <c r="H18" s="263"/>
      <c r="I18" s="262">
        <f>Fluxo_de_Caixa_Janeiro3459117[[#This Row],[JULHO]]</f>
        <v>0</v>
      </c>
      <c r="J18" s="262">
        <f>Fluxo_de_Caixa_Janeiro345911710[[#This Row],[AGOSTO]]</f>
        <v>0</v>
      </c>
      <c r="K18" s="262">
        <f>Fluxo_de_Caixa_Janeiro34591171012[[#This Row],[SETEMBRO]]</f>
        <v>0</v>
      </c>
      <c r="L18" s="262"/>
      <c r="M18" s="262"/>
      <c r="N18" s="263"/>
      <c r="O18" s="208">
        <f>Fluxo_de_Caixa_Janeiro310201314[[#This Row],[Julho]]</f>
        <v>0</v>
      </c>
      <c r="P18" s="138" t="str">
        <f t="shared" si="1"/>
        <v>0,00%</v>
      </c>
      <c r="Q18" s="66"/>
      <c r="R18" s="31"/>
    </row>
    <row r="19" spans="1:18" x14ac:dyDescent="0.25">
      <c r="B19" s="47" t="str">
        <f>Fluxo_de_Caixa_Janeiro[[#This Row],[Fluxo de Caixa 2026 CTR]]</f>
        <v>2.9 - CONTA PERDA/ROUBO E BONIFICAÇÃO FILIAL</v>
      </c>
      <c r="C19" s="256"/>
      <c r="D19" s="262"/>
      <c r="E19" s="262"/>
      <c r="F19" s="262"/>
      <c r="G19" s="262"/>
      <c r="H19" s="263"/>
      <c r="I19" s="262">
        <f>Fluxo_de_Caixa_Janeiro3459117[[#This Row],[JULHO]]</f>
        <v>0</v>
      </c>
      <c r="J19" s="262">
        <f>Fluxo_de_Caixa_Janeiro345911710[[#This Row],[AGOSTO]]</f>
        <v>0</v>
      </c>
      <c r="K19" s="262">
        <f>Fluxo_de_Caixa_Janeiro34591171012[[#This Row],[SETEMBRO]]</f>
        <v>0</v>
      </c>
      <c r="L19" s="262"/>
      <c r="M19" s="262"/>
      <c r="N19" s="263"/>
      <c r="O19" s="208">
        <f>Fluxo_de_Caixa_Janeiro310201314[[#This Row],[Julho]]</f>
        <v>0</v>
      </c>
      <c r="P19" s="138" t="str">
        <f t="shared" si="1"/>
        <v>0,00%</v>
      </c>
      <c r="Q19" s="66"/>
      <c r="R19" s="31"/>
    </row>
    <row r="20" spans="1:18" x14ac:dyDescent="0.25">
      <c r="B20" s="47" t="str">
        <f>Fluxo_de_Caixa_Janeiro[[#This Row],[Fluxo de Caixa 2026 CTR]]</f>
        <v>4.0 - TESOURARIA FILIAL PORTO</v>
      </c>
      <c r="C20" s="256"/>
      <c r="D20" s="262"/>
      <c r="E20" s="262"/>
      <c r="F20" s="262"/>
      <c r="G20" s="262"/>
      <c r="H20" s="263"/>
      <c r="I20" s="262">
        <f>Fluxo_de_Caixa_Janeiro3459117[[#This Row],[JULHO]]</f>
        <v>0</v>
      </c>
      <c r="J20" s="262">
        <f>Fluxo_de_Caixa_Janeiro345911710[[#This Row],[AGOSTO]]</f>
        <v>0</v>
      </c>
      <c r="K20" s="262">
        <f>Fluxo_de_Caixa_Janeiro34591171012[[#This Row],[SETEMBRO]]</f>
        <v>0</v>
      </c>
      <c r="L20" s="262"/>
      <c r="M20" s="262"/>
      <c r="N20" s="263"/>
      <c r="O20" s="208">
        <f>Fluxo_de_Caixa_Janeiro310201314[[#This Row],[Julho]]</f>
        <v>0</v>
      </c>
      <c r="P20" s="138" t="str">
        <f t="shared" si="1"/>
        <v>0,00%</v>
      </c>
      <c r="Q20" s="66"/>
      <c r="R20" s="31"/>
    </row>
    <row r="21" spans="1:18" x14ac:dyDescent="0.25">
      <c r="B21" s="47" t="str">
        <f>Fluxo_de_Caixa_Janeiro[[#This Row],[Fluxo de Caixa 2026 CTR]]</f>
        <v>4.1 -  BANCO DO BRASIL C.C.61105-0 FILIAL PORTO</v>
      </c>
      <c r="C21" s="256"/>
      <c r="D21" s="262"/>
      <c r="E21" s="262"/>
      <c r="F21" s="262"/>
      <c r="G21" s="262"/>
      <c r="H21" s="263"/>
      <c r="I21" s="262">
        <f>Fluxo_de_Caixa_Janeiro3459117[[#This Row],[JULHO]]</f>
        <v>0</v>
      </c>
      <c r="J21" s="262">
        <f>Fluxo_de_Caixa_Janeiro345911710[[#This Row],[AGOSTO]]</f>
        <v>0</v>
      </c>
      <c r="K21" s="262">
        <f>Fluxo_de_Caixa_Janeiro34591171012[[#This Row],[SETEMBRO]]</f>
        <v>0</v>
      </c>
      <c r="L21" s="262"/>
      <c r="M21" s="262"/>
      <c r="N21" s="263"/>
      <c r="O21" s="208">
        <f>Fluxo_de_Caixa_Janeiro310201314[[#This Row],[Julho]]</f>
        <v>0</v>
      </c>
      <c r="P21" s="138" t="str">
        <f t="shared" si="1"/>
        <v>0,00%</v>
      </c>
      <c r="Q21" s="66"/>
      <c r="R21" s="31"/>
    </row>
    <row r="22" spans="1:18" x14ac:dyDescent="0.25">
      <c r="B22" s="47">
        <f>Fluxo_de_Caixa_Janeiro[[#This Row],[Fluxo de Caixa 2026 CTR]]</f>
        <v>0</v>
      </c>
      <c r="C22" s="256"/>
      <c r="D22" s="262"/>
      <c r="E22" s="262"/>
      <c r="F22" s="262"/>
      <c r="G22" s="262"/>
      <c r="H22" s="263"/>
      <c r="I22" s="262">
        <f>Fluxo_de_Caixa_Janeiro3459117[[#This Row],[JULHO]]</f>
        <v>0</v>
      </c>
      <c r="J22" s="262">
        <f>Fluxo_de_Caixa_Janeiro345911710[[#This Row],[AGOSTO]]</f>
        <v>0</v>
      </c>
      <c r="K22" s="262">
        <f>Fluxo_de_Caixa_Janeiro34591171012[[#This Row],[SETEMBRO]]</f>
        <v>0</v>
      </c>
      <c r="L22" s="262"/>
      <c r="M22" s="262"/>
      <c r="N22" s="263"/>
      <c r="O22" s="208">
        <f>Fluxo_de_Caixa_Janeiro310201314[[#This Row],[Julho]]</f>
        <v>0</v>
      </c>
      <c r="P22" s="138" t="str">
        <f t="shared" si="1"/>
        <v>0,00%</v>
      </c>
      <c r="Q22" s="66"/>
      <c r="R22" s="31"/>
    </row>
    <row r="23" spans="1:18" x14ac:dyDescent="0.25">
      <c r="B23" s="47" t="str">
        <f>Fluxo_de_Caixa_Janeiro[[#This Row],[Fluxo de Caixa 2026 CTR]]</f>
        <v>4.4 - MERCADO PAGO PIX FILIAL PORTO</v>
      </c>
      <c r="C23" s="256"/>
      <c r="D23" s="262"/>
      <c r="E23" s="262"/>
      <c r="F23" s="262"/>
      <c r="G23" s="262"/>
      <c r="H23" s="263"/>
      <c r="I23" s="262">
        <f>Fluxo_de_Caixa_Janeiro3459117[[#This Row],[JULHO]]</f>
        <v>0</v>
      </c>
      <c r="J23" s="262">
        <f>Fluxo_de_Caixa_Janeiro345911710[[#This Row],[AGOSTO]]</f>
        <v>0</v>
      </c>
      <c r="K23" s="262">
        <f>Fluxo_de_Caixa_Janeiro34591171012[[#This Row],[SETEMBRO]]</f>
        <v>0</v>
      </c>
      <c r="L23" s="262"/>
      <c r="M23" s="262"/>
      <c r="N23" s="263"/>
      <c r="O23" s="208">
        <f>Fluxo_de_Caixa_Janeiro310201314[[#This Row],[Julho]]</f>
        <v>0</v>
      </c>
      <c r="P23" s="138" t="str">
        <f t="shared" si="1"/>
        <v>0,00%</v>
      </c>
      <c r="Q23" s="66"/>
      <c r="R23" s="31"/>
    </row>
    <row r="24" spans="1:18" x14ac:dyDescent="0.25">
      <c r="B24" s="47" t="str">
        <f>Fluxo_de_Caixa_Janeiro[[#This Row],[Fluxo de Caixa 2026 CTR]]</f>
        <v>4.9 - CONTA PERDA/ROUBO E BONIFICAÇÃO FILIAL</v>
      </c>
      <c r="C24" s="256"/>
      <c r="D24" s="262"/>
      <c r="E24" s="262"/>
      <c r="F24" s="262"/>
      <c r="G24" s="262"/>
      <c r="H24" s="263"/>
      <c r="I24" s="262">
        <f>Fluxo_de_Caixa_Janeiro3459117[[#This Row],[JULHO]]</f>
        <v>0</v>
      </c>
      <c r="J24" s="262">
        <f>Fluxo_de_Caixa_Janeiro345911710[[#This Row],[AGOSTO]]</f>
        <v>0</v>
      </c>
      <c r="K24" s="262">
        <f>Fluxo_de_Caixa_Janeiro34591171012[[#This Row],[SETEMBRO]]</f>
        <v>0</v>
      </c>
      <c r="L24" s="262"/>
      <c r="M24" s="262"/>
      <c r="N24" s="263"/>
      <c r="O24" s="208">
        <f>Fluxo_de_Caixa_Janeiro310201314[[#This Row],[Julho]]</f>
        <v>0</v>
      </c>
      <c r="P24" s="138" t="str">
        <f t="shared" si="1"/>
        <v>0,00%</v>
      </c>
      <c r="Q24" s="66"/>
      <c r="R24" s="31"/>
    </row>
    <row r="25" spans="1:18" x14ac:dyDescent="0.25">
      <c r="B25" s="47" t="str">
        <f>Fluxo_de_Caixa_Janeiro[[#This Row],[Fluxo de Caixa 2026 CTR]]</f>
        <v>91.CARTÃO ENDERED 5099+4596+6933+8072 - ESCRITORIO</v>
      </c>
      <c r="C25" s="256"/>
      <c r="D25" s="262"/>
      <c r="E25" s="262"/>
      <c r="F25" s="262"/>
      <c r="G25" s="262"/>
      <c r="H25" s="263"/>
      <c r="I25" s="262">
        <f>Fluxo_de_Caixa_Janeiro3459117[[#This Row],[JULHO]]</f>
        <v>0</v>
      </c>
      <c r="J25" s="262">
        <f>Fluxo_de_Caixa_Janeiro345911710[[#This Row],[AGOSTO]]</f>
        <v>0</v>
      </c>
      <c r="K25" s="262">
        <f>Fluxo_de_Caixa_Janeiro34591171012[[#This Row],[SETEMBRO]]</f>
        <v>0</v>
      </c>
      <c r="L25" s="262"/>
      <c r="M25" s="262"/>
      <c r="N25" s="263"/>
      <c r="O25" s="208">
        <f>Fluxo_de_Caixa_Janeiro310201314[[#This Row],[Julho]]</f>
        <v>0</v>
      </c>
      <c r="P25" s="138" t="str">
        <f t="shared" si="1"/>
        <v>0,00%</v>
      </c>
      <c r="Q25" s="66"/>
      <c r="R25" s="31"/>
    </row>
    <row r="26" spans="1:18" ht="15.75" thickBot="1" x14ac:dyDescent="0.3">
      <c r="B26" s="47">
        <f>Fluxo_de_Caixa_Janeiro[[#This Row],[Fluxo de Caixa 2026 CTR]]</f>
        <v>0</v>
      </c>
      <c r="C26" s="256"/>
      <c r="D26" s="262"/>
      <c r="E26" s="262"/>
      <c r="F26" s="262"/>
      <c r="G26" s="262"/>
      <c r="H26" s="263"/>
      <c r="I26" s="262">
        <f>Fluxo_de_Caixa_Janeiro3459117[[#This Row],[JULHO]]</f>
        <v>0</v>
      </c>
      <c r="J26" s="262">
        <f>Fluxo_de_Caixa_Janeiro345911710[[#This Row],[AGOSTO]]</f>
        <v>0</v>
      </c>
      <c r="K26" s="262">
        <f>Fluxo_de_Caixa_Janeiro34591171012[[#This Row],[SETEMBRO]]</f>
        <v>0</v>
      </c>
      <c r="L26" s="262"/>
      <c r="M26" s="262"/>
      <c r="N26" s="263"/>
      <c r="O26" s="208">
        <f>Fluxo_de_Caixa_Janeiro310201314[[#This Row],[Julho]]</f>
        <v>0</v>
      </c>
      <c r="P26" s="138" t="str">
        <f t="shared" si="1"/>
        <v>0,00%</v>
      </c>
      <c r="Q26" s="66"/>
      <c r="R26" s="31"/>
    </row>
    <row r="27" spans="1:18" ht="27" thickBot="1" x14ac:dyDescent="0.45">
      <c r="B27" s="266" t="str">
        <f>Fluxo_de_Caixa_Janeiro[[#This Row],[Fluxo de Caixa 2026 CTR]]</f>
        <v>Total Receitas Operacionais / Vendas</v>
      </c>
      <c r="C27" s="37"/>
      <c r="D27" s="83"/>
      <c r="E27" s="83"/>
      <c r="F27" s="83"/>
      <c r="G27" s="83"/>
      <c r="H27" s="121"/>
      <c r="I27" s="83">
        <f>Fluxo_de_Caixa_Janeiro3459117[[#This Row],[JULHO]]</f>
        <v>0</v>
      </c>
      <c r="J27" s="83">
        <f>Fluxo_de_Caixa_Janeiro345911710[[#This Row],[AGOSTO]]</f>
        <v>0</v>
      </c>
      <c r="K27" s="83">
        <f>Fluxo_de_Caixa_Janeiro34591171012[[#This Row],[SETEMBRO]]</f>
        <v>0</v>
      </c>
      <c r="L27" s="83"/>
      <c r="M27" s="83"/>
      <c r="N27" s="121"/>
      <c r="O27" s="211">
        <f>SUM(Fluxo_de_Caixa_Janeiro310201314[[#This Row],[Janeiro]:[Dezembro]])</f>
        <v>0</v>
      </c>
      <c r="P27" s="198" t="str">
        <f>IFERROR(O27/O332,"0,00%")</f>
        <v>0,00%</v>
      </c>
      <c r="Q27" s="18"/>
      <c r="R27" s="32" t="str">
        <f>IF(Fluxo_de_Caixa_Janeiro310201314[[#This Row],[% ACUMULADO  3º SEMEST 2026]]&gt;=Fluxo_de_Caixa_Janeiro310201314[[#This Row],[Coluna1]],"VERDADEIRO","FALSO")</f>
        <v>VERDADEIRO</v>
      </c>
    </row>
    <row r="28" spans="1:18" s="1" customFormat="1" ht="24" thickBot="1" x14ac:dyDescent="0.4">
      <c r="A28" s="11" t="s">
        <v>49</v>
      </c>
      <c r="B28" s="57" t="str">
        <f>Fluxo_de_Caixa_Janeiro[[#This Row],[Fluxo de Caixa 2026 CTR]]</f>
        <v>1.1. Receita com Vendas</v>
      </c>
      <c r="C28" s="44"/>
      <c r="D28" s="85"/>
      <c r="E28" s="85"/>
      <c r="F28" s="85"/>
      <c r="G28" s="85"/>
      <c r="H28" s="122"/>
      <c r="I28" s="85">
        <f>Fluxo_de_Caixa_Janeiro3459117[[#This Row],[JULHO]]</f>
        <v>0</v>
      </c>
      <c r="J28" s="85">
        <f>Fluxo_de_Caixa_Janeiro345911710[[#This Row],[AGOSTO]]</f>
        <v>0</v>
      </c>
      <c r="K28" s="85">
        <f>Fluxo_de_Caixa_Janeiro34591171012[[#This Row],[SETEMBRO]]</f>
        <v>0</v>
      </c>
      <c r="L28" s="85"/>
      <c r="M28" s="85"/>
      <c r="N28" s="122"/>
      <c r="O28" s="212">
        <f>SUM(Fluxo_de_Caixa_Janeiro310201314[[#This Row],[Janeiro]:[Dezembro]])</f>
        <v>0</v>
      </c>
      <c r="P28" s="25">
        <f>SUM(P29:P47)</f>
        <v>0</v>
      </c>
      <c r="Q28" s="69"/>
      <c r="R28" s="32"/>
    </row>
    <row r="29" spans="1:18" x14ac:dyDescent="0.25">
      <c r="B29" s="49" t="str">
        <f>Fluxo_de_Caixa_Janeiro[[#This Row],[Fluxo de Caixa 2026 CTR]]</f>
        <v xml:space="preserve">1.1.01. Receita em Dinheiro </v>
      </c>
      <c r="C29" s="39"/>
      <c r="D29" s="84"/>
      <c r="E29" s="84"/>
      <c r="F29" s="84"/>
      <c r="G29" s="84"/>
      <c r="H29" s="123"/>
      <c r="I29" s="84">
        <f>Fluxo_de_Caixa_Janeiro3459117[[#This Row],[JULHO]]</f>
        <v>0</v>
      </c>
      <c r="J29" s="84">
        <f>Fluxo_de_Caixa_Janeiro345911710[[#This Row],[AGOSTO]]</f>
        <v>0</v>
      </c>
      <c r="K29" s="84">
        <f>Fluxo_de_Caixa_Janeiro34591171012[[#This Row],[SETEMBRO]]</f>
        <v>0</v>
      </c>
      <c r="L29" s="84"/>
      <c r="M29" s="84"/>
      <c r="N29" s="123"/>
      <c r="O29" s="213">
        <f>SUM(Fluxo_de_Caixa_Janeiro310201314[[#This Row],[Janeiro]:[Dezembro]])</f>
        <v>0</v>
      </c>
      <c r="P29" s="29" t="str">
        <f t="shared" ref="P29:P47" si="2">IF(O29=0,"0,00%",O29/$O$332)</f>
        <v>0,00%</v>
      </c>
      <c r="Q29" s="63"/>
      <c r="R29" s="32" t="str">
        <f>IF(Fluxo_de_Caixa_Janeiro310201314[[#This Row],[% ACUMULADO  3º SEMEST 2026]]&gt;=Fluxo_de_Caixa_Janeiro310201314[[#This Row],[Coluna1]],"VERDADEIRO","FALSO")</f>
        <v>VERDADEIRO</v>
      </c>
    </row>
    <row r="30" spans="1:18" x14ac:dyDescent="0.25">
      <c r="B30" s="50" t="str">
        <f>Fluxo_de_Caixa_Janeiro[[#This Row],[Fluxo de Caixa 2026 CTR]]</f>
        <v>1.1.01. Receita em Cartão (Crédito e Débito)</v>
      </c>
      <c r="C30" s="40"/>
      <c r="D30" s="64"/>
      <c r="E30" s="64"/>
      <c r="F30" s="64"/>
      <c r="G30" s="64"/>
      <c r="H30" s="124"/>
      <c r="I30" s="64">
        <f>Fluxo_de_Caixa_Janeiro3459117[[#This Row],[JULHO]]</f>
        <v>0</v>
      </c>
      <c r="J30" s="64">
        <f>Fluxo_de_Caixa_Janeiro345911710[[#This Row],[AGOSTO]]</f>
        <v>0</v>
      </c>
      <c r="K30" s="64">
        <f>Fluxo_de_Caixa_Janeiro34591171012[[#This Row],[SETEMBRO]]</f>
        <v>0</v>
      </c>
      <c r="L30" s="64"/>
      <c r="M30" s="64"/>
      <c r="N30" s="124"/>
      <c r="O30" s="214">
        <f>SUM(Fluxo_de_Caixa_Janeiro310201314[[#This Row],[Janeiro]:[Dezembro]])</f>
        <v>0</v>
      </c>
      <c r="P30" s="140" t="str">
        <f t="shared" si="2"/>
        <v>0,00%</v>
      </c>
      <c r="Q30" s="63"/>
      <c r="R30" s="32" t="str">
        <f>IF(Fluxo_de_Caixa_Janeiro310201314[[#This Row],[% ACUMULADO  3º SEMEST 2026]]&gt;=Fluxo_de_Caixa_Janeiro310201314[[#This Row],[Coluna1]],"VERDADEIRO","FALSO")</f>
        <v>VERDADEIRO</v>
      </c>
    </row>
    <row r="31" spans="1:18" x14ac:dyDescent="0.25">
      <c r="B31" s="50" t="str">
        <f>Fluxo_de_Caixa_Janeiro[[#This Row],[Fluxo de Caixa 2026 CTR]]</f>
        <v>1.1.01. Receita de Cheque A Vista</v>
      </c>
      <c r="C31" s="35"/>
      <c r="D31" s="62"/>
      <c r="E31" s="62"/>
      <c r="F31" s="62"/>
      <c r="G31" s="62"/>
      <c r="H31" s="119"/>
      <c r="I31" s="62">
        <f>Fluxo_de_Caixa_Janeiro3459117[[#This Row],[JULHO]]</f>
        <v>0</v>
      </c>
      <c r="J31" s="62">
        <f>Fluxo_de_Caixa_Janeiro345911710[[#This Row],[AGOSTO]]</f>
        <v>0</v>
      </c>
      <c r="K31" s="62">
        <f>Fluxo_de_Caixa_Janeiro34591171012[[#This Row],[SETEMBRO]]</f>
        <v>0</v>
      </c>
      <c r="L31" s="62"/>
      <c r="M31" s="62"/>
      <c r="N31" s="119"/>
      <c r="O31" s="214">
        <f>SUM(Fluxo_de_Caixa_Janeiro310201314[[#This Row],[Janeiro]:[Dezembro]])</f>
        <v>0</v>
      </c>
      <c r="P31" s="140" t="str">
        <f t="shared" si="2"/>
        <v>0,00%</v>
      </c>
      <c r="Q31" s="63"/>
      <c r="R31" s="32" t="str">
        <f>IF(Fluxo_de_Caixa_Janeiro310201314[[#This Row],[% ACUMULADO  3º SEMEST 2026]]&gt;=Fluxo_de_Caixa_Janeiro310201314[[#This Row],[Coluna1]],"VERDADEIRO","FALSO")</f>
        <v>VERDADEIRO</v>
      </c>
    </row>
    <row r="32" spans="1:18" hidden="1" x14ac:dyDescent="0.25">
      <c r="B32" s="50" t="str">
        <f>Fluxo_de_Caixa_Janeiro[[#This Row],[Fluxo de Caixa 2026 CTR]]</f>
        <v xml:space="preserve">1.1.01. Receita de Cheque Pré </v>
      </c>
      <c r="C32" s="35"/>
      <c r="D32" s="62"/>
      <c r="E32" s="62"/>
      <c r="F32" s="62"/>
      <c r="G32" s="62"/>
      <c r="H32" s="119"/>
      <c r="I32" s="62">
        <f>Fluxo_de_Caixa_Janeiro3459117[[#This Row],[JULHO]]</f>
        <v>0</v>
      </c>
      <c r="J32" s="62">
        <f>Fluxo_de_Caixa_Janeiro345911710[[#This Row],[AGOSTO]]</f>
        <v>0</v>
      </c>
      <c r="K32" s="62">
        <f>Fluxo_de_Caixa_Janeiro34591171012[[#This Row],[SETEMBRO]]</f>
        <v>0</v>
      </c>
      <c r="L32" s="62"/>
      <c r="M32" s="62"/>
      <c r="N32" s="119"/>
      <c r="O32" s="214">
        <f>SUM(Fluxo_de_Caixa_Janeiro310201314[[#This Row],[Janeiro]:[Dezembro]])</f>
        <v>0</v>
      </c>
      <c r="P32" s="140" t="str">
        <f t="shared" si="2"/>
        <v>0,00%</v>
      </c>
      <c r="Q32" s="63"/>
      <c r="R32" s="32" t="str">
        <f>IF(Fluxo_de_Caixa_Janeiro310201314[[#This Row],[% ACUMULADO  3º SEMEST 2026]]&gt;=Fluxo_de_Caixa_Janeiro310201314[[#This Row],[Coluna1]],"VERDADEIRO","FALSO")</f>
        <v>VERDADEIRO</v>
      </c>
    </row>
    <row r="33" spans="1:18" x14ac:dyDescent="0.25">
      <c r="B33" s="50" t="str">
        <f>Fluxo_de_Caixa_Janeiro[[#This Row],[Fluxo de Caixa 2026 CTR]]</f>
        <v>1.1.01. Recebimento de Carteira (Notinha)</v>
      </c>
      <c r="C33" s="35"/>
      <c r="D33" s="62"/>
      <c r="E33" s="62"/>
      <c r="F33" s="62"/>
      <c r="G33" s="62"/>
      <c r="H33" s="119"/>
      <c r="I33" s="62">
        <f>Fluxo_de_Caixa_Janeiro3459117[[#This Row],[JULHO]]</f>
        <v>0</v>
      </c>
      <c r="J33" s="62">
        <f>Fluxo_de_Caixa_Janeiro345911710[[#This Row],[AGOSTO]]</f>
        <v>0</v>
      </c>
      <c r="K33" s="62">
        <f>Fluxo_de_Caixa_Janeiro34591171012[[#This Row],[SETEMBRO]]</f>
        <v>0</v>
      </c>
      <c r="L33" s="62"/>
      <c r="M33" s="62"/>
      <c r="N33" s="119"/>
      <c r="O33" s="214">
        <f>SUM(Fluxo_de_Caixa_Janeiro310201314[[#This Row],[Janeiro]:[Dezembro]])</f>
        <v>0</v>
      </c>
      <c r="P33" s="140" t="str">
        <f t="shared" si="2"/>
        <v>0,00%</v>
      </c>
      <c r="Q33" s="63"/>
      <c r="R33" s="32" t="str">
        <f>IF(Fluxo_de_Caixa_Janeiro310201314[[#This Row],[% ACUMULADO  3º SEMEST 2026]]&gt;=Fluxo_de_Caixa_Janeiro310201314[[#This Row],[Coluna1]],"VERDADEIRO","FALSO")</f>
        <v>VERDADEIRO</v>
      </c>
    </row>
    <row r="34" spans="1:18" x14ac:dyDescent="0.25">
      <c r="B34" s="50" t="str">
        <f>Fluxo_de_Caixa_Janeiro[[#This Row],[Fluxo de Caixa 2026 CTR]]</f>
        <v>1.1.01. Recebimento de Boletos</v>
      </c>
      <c r="C34" s="35"/>
      <c r="D34" s="62"/>
      <c r="E34" s="62"/>
      <c r="F34" s="62"/>
      <c r="G34" s="62"/>
      <c r="H34" s="119"/>
      <c r="I34" s="62">
        <f>Fluxo_de_Caixa_Janeiro3459117[[#This Row],[JULHO]]</f>
        <v>0</v>
      </c>
      <c r="J34" s="62">
        <f>Fluxo_de_Caixa_Janeiro345911710[[#This Row],[AGOSTO]]</f>
        <v>0</v>
      </c>
      <c r="K34" s="62">
        <f>Fluxo_de_Caixa_Janeiro34591171012[[#This Row],[SETEMBRO]]</f>
        <v>0</v>
      </c>
      <c r="L34" s="62"/>
      <c r="M34" s="62"/>
      <c r="N34" s="119"/>
      <c r="O34" s="214">
        <f>SUM(Fluxo_de_Caixa_Janeiro310201314[[#This Row],[Janeiro]:[Dezembro]])</f>
        <v>0</v>
      </c>
      <c r="P34" s="140" t="str">
        <f t="shared" si="2"/>
        <v>0,00%</v>
      </c>
      <c r="Q34" s="63"/>
      <c r="R34" s="32" t="str">
        <f>IF(Fluxo_de_Caixa_Janeiro310201314[[#This Row],[% ACUMULADO  3º SEMEST 2026]]&gt;=Fluxo_de_Caixa_Janeiro310201314[[#This Row],[Coluna1]],"VERDADEIRO","FALSO")</f>
        <v>VERDADEIRO</v>
      </c>
    </row>
    <row r="35" spans="1:18" x14ac:dyDescent="0.25">
      <c r="B35" s="50" t="str">
        <f>Fluxo_de_Caixa_Janeiro[[#This Row],[Fluxo de Caixa 2026 CTR]]</f>
        <v>1.1.01. Recebimento em Depósito e Dep. PIX</v>
      </c>
      <c r="C35" s="35"/>
      <c r="D35" s="62"/>
      <c r="E35" s="62"/>
      <c r="F35" s="62"/>
      <c r="G35" s="62"/>
      <c r="H35" s="119"/>
      <c r="I35" s="62">
        <f>Fluxo_de_Caixa_Janeiro3459117[[#This Row],[JULHO]]</f>
        <v>0</v>
      </c>
      <c r="J35" s="62">
        <f>Fluxo_de_Caixa_Janeiro345911710[[#This Row],[AGOSTO]]</f>
        <v>0</v>
      </c>
      <c r="K35" s="62">
        <f>Fluxo_de_Caixa_Janeiro34591171012[[#This Row],[SETEMBRO]]</f>
        <v>0</v>
      </c>
      <c r="L35" s="62"/>
      <c r="M35" s="62"/>
      <c r="N35" s="119"/>
      <c r="O35" s="214">
        <f>SUM(Fluxo_de_Caixa_Janeiro310201314[[#This Row],[Janeiro]:[Dezembro]])</f>
        <v>0</v>
      </c>
      <c r="P35" s="140" t="str">
        <f t="shared" si="2"/>
        <v>0,00%</v>
      </c>
      <c r="Q35" s="63"/>
      <c r="R35" s="32" t="str">
        <f>IF(Fluxo_de_Caixa_Janeiro310201314[[#This Row],[% ACUMULADO  3º SEMEST 2026]]&gt;=Fluxo_de_Caixa_Janeiro310201314[[#This Row],[Coluna1]],"VERDADEIRO","FALSO")</f>
        <v>VERDADEIRO</v>
      </c>
    </row>
    <row r="36" spans="1:18" ht="15.75" thickBot="1" x14ac:dyDescent="0.3">
      <c r="B36" s="51" t="str">
        <f>Fluxo_de_Caixa_Janeiro[[#This Row],[Fluxo de Caixa 2026 CTR]]</f>
        <v>1.1.02. Recebimento Cheque Devolvido</v>
      </c>
      <c r="C36" s="35"/>
      <c r="D36" s="62"/>
      <c r="E36" s="62"/>
      <c r="F36" s="62"/>
      <c r="G36" s="62"/>
      <c r="H36" s="62"/>
      <c r="I36" s="35">
        <f>Fluxo_de_Caixa_Janeiro3459117[[#This Row],[JULHO]]</f>
        <v>0</v>
      </c>
      <c r="J36" s="62">
        <f>Fluxo_de_Caixa_Janeiro345911710[[#This Row],[AGOSTO]]</f>
        <v>0</v>
      </c>
      <c r="K36" s="62">
        <f>Fluxo_de_Caixa_Janeiro34591171012[[#This Row],[SETEMBRO]]</f>
        <v>0</v>
      </c>
      <c r="L36" s="62"/>
      <c r="M36" s="62"/>
      <c r="N36" s="119"/>
      <c r="O36" s="214">
        <f>SUM(Fluxo_de_Caixa_Janeiro310201314[[#This Row],[Janeiro]:[Dezembro]])</f>
        <v>0</v>
      </c>
      <c r="P36" s="140" t="str">
        <f t="shared" si="2"/>
        <v>0,00%</v>
      </c>
      <c r="Q36" s="63"/>
      <c r="R36" s="32" t="str">
        <f>IF(Fluxo_de_Caixa_Janeiro310201314[[#This Row],[% ACUMULADO  3º SEMEST 2026]]&gt;=Fluxo_de_Caixa_Janeiro310201314[[#This Row],[Coluna1]],"VERDADEIRO","FALSO")</f>
        <v>VERDADEIRO</v>
      </c>
    </row>
    <row r="37" spans="1:18" hidden="1" x14ac:dyDescent="0.25">
      <c r="B37" s="365">
        <f>Fluxo_de_Caixa_Janeiro[[#This Row],[Fluxo de Caixa 2026 CTR]]</f>
        <v>0</v>
      </c>
      <c r="C37" s="35"/>
      <c r="D37" s="62"/>
      <c r="E37" s="62"/>
      <c r="F37" s="62"/>
      <c r="G37" s="62"/>
      <c r="H37" s="62"/>
      <c r="I37" s="35">
        <f>Fluxo_de_Caixa_Janeiro3459117[[#This Row],[JULHO]]</f>
        <v>0</v>
      </c>
      <c r="J37" s="62">
        <f>Fluxo_de_Caixa_Janeiro345911710[[#This Row],[AGOSTO]]</f>
        <v>0</v>
      </c>
      <c r="K37" s="62">
        <f>Fluxo_de_Caixa_Janeiro34591171012[[#This Row],[SETEMBRO]]</f>
        <v>0</v>
      </c>
      <c r="L37" s="62"/>
      <c r="M37" s="62"/>
      <c r="N37" s="119"/>
      <c r="O37" s="214">
        <f>SUM(Fluxo_de_Caixa_Janeiro310201314[[#This Row],[Janeiro]:[Dezembro]])</f>
        <v>0</v>
      </c>
      <c r="P37" s="140" t="str">
        <f t="shared" si="2"/>
        <v>0,00%</v>
      </c>
      <c r="Q37" s="63"/>
      <c r="R37" s="32" t="str">
        <f>IF(Fluxo_de_Caixa_Janeiro310201314[[#This Row],[% ACUMULADO  3º SEMEST 2026]]&gt;=Fluxo_de_Caixa_Janeiro310201314[[#This Row],[Coluna1]],"VERDADEIRO","FALSO")</f>
        <v>VERDADEIRO</v>
      </c>
    </row>
    <row r="38" spans="1:18" hidden="1" x14ac:dyDescent="0.25">
      <c r="B38" s="362">
        <f>Fluxo_de_Caixa_Janeiro[[#This Row],[Fluxo de Caixa 2026 CTR]]</f>
        <v>0</v>
      </c>
      <c r="C38" s="357"/>
      <c r="D38" s="306"/>
      <c r="E38" s="306"/>
      <c r="F38" s="306"/>
      <c r="G38" s="306"/>
      <c r="H38" s="306"/>
      <c r="I38" s="357">
        <f>Fluxo_de_Caixa_Janeiro3459117[[#This Row],[JULHO]]</f>
        <v>0</v>
      </c>
      <c r="J38" s="306">
        <f>Fluxo_de_Caixa_Janeiro345911710[[#This Row],[AGOSTO]]</f>
        <v>0</v>
      </c>
      <c r="K38" s="306">
        <f>Fluxo_de_Caixa_Janeiro34591171012[[#This Row],[SETEMBRO]]</f>
        <v>0</v>
      </c>
      <c r="L38" s="306"/>
      <c r="M38" s="306"/>
      <c r="N38" s="360"/>
      <c r="O38" s="394">
        <f>SUM(Fluxo_de_Caixa_Janeiro310201314[[#This Row],[Janeiro]:[Dezembro]])</f>
        <v>0</v>
      </c>
      <c r="P38" s="140" t="str">
        <f t="shared" si="2"/>
        <v>0,00%</v>
      </c>
      <c r="Q38" s="395"/>
      <c r="R38" s="32"/>
    </row>
    <row r="39" spans="1:18" hidden="1" x14ac:dyDescent="0.25">
      <c r="B39" s="364">
        <f>Fluxo_de_Caixa_Janeiro[[#This Row],[Fluxo de Caixa 2026 CTR]]</f>
        <v>0</v>
      </c>
      <c r="C39" s="357"/>
      <c r="D39" s="306"/>
      <c r="E39" s="306"/>
      <c r="F39" s="306"/>
      <c r="G39" s="306"/>
      <c r="H39" s="306"/>
      <c r="I39" s="357">
        <f>Fluxo_de_Caixa_Janeiro3459117[[#This Row],[JULHO]]</f>
        <v>0</v>
      </c>
      <c r="J39" s="306">
        <f>Fluxo_de_Caixa_Janeiro345911710[[#This Row],[AGOSTO]]</f>
        <v>0</v>
      </c>
      <c r="K39" s="306">
        <f>Fluxo_de_Caixa_Janeiro34591171012[[#This Row],[SETEMBRO]]</f>
        <v>0</v>
      </c>
      <c r="L39" s="306"/>
      <c r="M39" s="306"/>
      <c r="N39" s="360"/>
      <c r="O39" s="394">
        <f>SUM(Fluxo_de_Caixa_Janeiro310201314[[#This Row],[Janeiro]:[Dezembro]])</f>
        <v>0</v>
      </c>
      <c r="P39" s="140" t="str">
        <f t="shared" si="2"/>
        <v>0,00%</v>
      </c>
      <c r="Q39" s="395"/>
      <c r="R39" s="32"/>
    </row>
    <row r="40" spans="1:18" hidden="1" x14ac:dyDescent="0.25">
      <c r="B40" s="362">
        <f>Fluxo_de_Caixa_Janeiro[[#This Row],[Fluxo de Caixa 2026 CTR]]</f>
        <v>0</v>
      </c>
      <c r="C40" s="358"/>
      <c r="D40" s="359"/>
      <c r="E40" s="359"/>
      <c r="F40" s="359"/>
      <c r="G40" s="359"/>
      <c r="H40" s="359"/>
      <c r="I40" s="358">
        <f>Fluxo_de_Caixa_Janeiro3459117[[#This Row],[JULHO]]</f>
        <v>0</v>
      </c>
      <c r="J40" s="359">
        <f>Fluxo_de_Caixa_Janeiro345911710[[#This Row],[AGOSTO]]</f>
        <v>0</v>
      </c>
      <c r="K40" s="359">
        <f>Fluxo_de_Caixa_Janeiro34591171012[[#This Row],[SETEMBRO]]</f>
        <v>0</v>
      </c>
      <c r="L40" s="359"/>
      <c r="M40" s="359"/>
      <c r="N40" s="361"/>
      <c r="O40" s="394">
        <f>SUM(Fluxo_de_Caixa_Janeiro310201314[[#This Row],[Janeiro]:[Dezembro]])</f>
        <v>0</v>
      </c>
      <c r="P40" s="140" t="str">
        <f t="shared" si="2"/>
        <v>0,00%</v>
      </c>
      <c r="Q40" s="395"/>
      <c r="R40" s="32"/>
    </row>
    <row r="41" spans="1:18" hidden="1" x14ac:dyDescent="0.25">
      <c r="B41" s="363">
        <f>Fluxo_de_Caixa_Janeiro[[#This Row],[Fluxo de Caixa 2026 CTR]]</f>
        <v>0</v>
      </c>
      <c r="C41" s="358"/>
      <c r="D41" s="359"/>
      <c r="E41" s="359"/>
      <c r="F41" s="359"/>
      <c r="G41" s="359"/>
      <c r="H41" s="359"/>
      <c r="I41" s="358">
        <f>Fluxo_de_Caixa_Janeiro3459117[[#This Row],[JULHO]]</f>
        <v>0</v>
      </c>
      <c r="J41" s="359">
        <f>Fluxo_de_Caixa_Janeiro345911710[[#This Row],[AGOSTO]]</f>
        <v>0</v>
      </c>
      <c r="K41" s="359">
        <f>Fluxo_de_Caixa_Janeiro34591171012[[#This Row],[SETEMBRO]]</f>
        <v>0</v>
      </c>
      <c r="L41" s="359"/>
      <c r="M41" s="359"/>
      <c r="N41" s="361"/>
      <c r="O41" s="394">
        <f>SUM(Fluxo_de_Caixa_Janeiro310201314[[#This Row],[Janeiro]:[Dezembro]])</f>
        <v>0</v>
      </c>
      <c r="P41" s="140" t="str">
        <f t="shared" si="2"/>
        <v>0,00%</v>
      </c>
      <c r="Q41" s="395"/>
      <c r="R41" s="32"/>
    </row>
    <row r="42" spans="1:18" ht="15.75" hidden="1" thickBot="1" x14ac:dyDescent="0.3">
      <c r="B42" s="363">
        <f>Fluxo_de_Caixa_Janeiro[[#This Row],[Fluxo de Caixa 2026 CTR]]</f>
        <v>0</v>
      </c>
      <c r="C42" s="358"/>
      <c r="D42" s="359"/>
      <c r="E42" s="359"/>
      <c r="F42" s="359"/>
      <c r="G42" s="359"/>
      <c r="H42" s="359"/>
      <c r="I42" s="358">
        <f>Fluxo_de_Caixa_Janeiro3459117[[#This Row],[JULHO]]</f>
        <v>0</v>
      </c>
      <c r="J42" s="359">
        <f>Fluxo_de_Caixa_Janeiro345911710[[#This Row],[AGOSTO]]</f>
        <v>0</v>
      </c>
      <c r="K42" s="359">
        <f>Fluxo_de_Caixa_Janeiro34591171012[[#This Row],[SETEMBRO]]</f>
        <v>0</v>
      </c>
      <c r="L42" s="359"/>
      <c r="M42" s="359"/>
      <c r="N42" s="361"/>
      <c r="O42" s="394">
        <f>SUM(Fluxo_de_Caixa_Janeiro310201314[[#This Row],[Janeiro]:[Dezembro]])</f>
        <v>0</v>
      </c>
      <c r="P42" s="140" t="str">
        <f t="shared" si="2"/>
        <v>0,00%</v>
      </c>
      <c r="Q42" s="395"/>
      <c r="R42" s="32"/>
    </row>
    <row r="43" spans="1:18" ht="15.75" hidden="1" thickBot="1" x14ac:dyDescent="0.3">
      <c r="B43" s="364">
        <f>Fluxo_de_Caixa_Janeiro[[#This Row],[Fluxo de Caixa 2026 CTR]]</f>
        <v>0</v>
      </c>
      <c r="C43" s="358"/>
      <c r="D43" s="359"/>
      <c r="E43" s="359"/>
      <c r="F43" s="359"/>
      <c r="G43" s="359"/>
      <c r="H43" s="359"/>
      <c r="I43" s="358">
        <f>Fluxo_de_Caixa_Janeiro3459117[[#This Row],[JULHO]]</f>
        <v>0</v>
      </c>
      <c r="J43" s="359">
        <f>Fluxo_de_Caixa_Janeiro345911710[[#This Row],[AGOSTO]]</f>
        <v>0</v>
      </c>
      <c r="K43" s="359">
        <f>Fluxo_de_Caixa_Janeiro34591171012[[#This Row],[SETEMBRO]]</f>
        <v>0</v>
      </c>
      <c r="L43" s="359"/>
      <c r="M43" s="359"/>
      <c r="N43" s="361"/>
      <c r="O43" s="394">
        <f>SUM(Fluxo_de_Caixa_Janeiro310201314[[#This Row],[Janeiro]:[Dezembro]])</f>
        <v>0</v>
      </c>
      <c r="P43" s="140" t="str">
        <f t="shared" si="2"/>
        <v>0,00%</v>
      </c>
      <c r="Q43" s="395"/>
      <c r="R43" s="32"/>
    </row>
    <row r="44" spans="1:18" ht="15.75" hidden="1" thickBot="1" x14ac:dyDescent="0.3">
      <c r="B44" s="364">
        <f>Fluxo_de_Caixa_Janeiro[[#This Row],[Fluxo de Caixa 2026 CTR]]</f>
        <v>0</v>
      </c>
      <c r="C44" s="358"/>
      <c r="D44" s="359"/>
      <c r="E44" s="359"/>
      <c r="F44" s="359"/>
      <c r="G44" s="359"/>
      <c r="H44" s="359"/>
      <c r="I44" s="358">
        <f>Fluxo_de_Caixa_Janeiro3459117[[#This Row],[JULHO]]</f>
        <v>0</v>
      </c>
      <c r="J44" s="359">
        <f>Fluxo_de_Caixa_Janeiro345911710[[#This Row],[AGOSTO]]</f>
        <v>0</v>
      </c>
      <c r="K44" s="359">
        <f>Fluxo_de_Caixa_Janeiro34591171012[[#This Row],[SETEMBRO]]</f>
        <v>0</v>
      </c>
      <c r="L44" s="359"/>
      <c r="M44" s="359"/>
      <c r="N44" s="361"/>
      <c r="O44" s="394">
        <f>SUM(Fluxo_de_Caixa_Janeiro310201314[[#This Row],[Janeiro]:[Dezembro]])</f>
        <v>0</v>
      </c>
      <c r="P44" s="140" t="str">
        <f t="shared" si="2"/>
        <v>0,00%</v>
      </c>
      <c r="Q44" s="395"/>
      <c r="R44" s="32"/>
    </row>
    <row r="45" spans="1:18" ht="15.75" hidden="1" thickBot="1" x14ac:dyDescent="0.3">
      <c r="B45" s="51">
        <f>Fluxo_de_Caixa_Janeiro[[#This Row],[Fluxo de Caixa 2026 CTR]]</f>
        <v>0</v>
      </c>
      <c r="C45" s="35"/>
      <c r="D45" s="62"/>
      <c r="E45" s="62"/>
      <c r="F45" s="62"/>
      <c r="G45" s="62"/>
      <c r="H45" s="62"/>
      <c r="I45" s="35">
        <f>Fluxo_de_Caixa_Janeiro3459117[[#This Row],[JULHO]]</f>
        <v>0</v>
      </c>
      <c r="J45" s="62">
        <f>Fluxo_de_Caixa_Janeiro345911710[[#This Row],[AGOSTO]]</f>
        <v>0</v>
      </c>
      <c r="K45" s="62">
        <f>Fluxo_de_Caixa_Janeiro34591171012[[#This Row],[SETEMBRO]]</f>
        <v>0</v>
      </c>
      <c r="L45" s="62"/>
      <c r="M45" s="62"/>
      <c r="N45" s="119"/>
      <c r="O45" s="214">
        <f>SUM(Fluxo_de_Caixa_Janeiro310201314[[#This Row],[Janeiro]:[Dezembro]])</f>
        <v>0</v>
      </c>
      <c r="P45" s="140" t="str">
        <f t="shared" si="2"/>
        <v>0,00%</v>
      </c>
      <c r="Q45" s="63"/>
      <c r="R45" s="32" t="str">
        <f>IF(Fluxo_de_Caixa_Janeiro310201314[[#This Row],[% ACUMULADO  3º SEMEST 2026]]&gt;=Fluxo_de_Caixa_Janeiro310201314[[#This Row],[Coluna1]],"VERDADEIRO","FALSO")</f>
        <v>VERDADEIRO</v>
      </c>
    </row>
    <row r="46" spans="1:18" ht="15.75" hidden="1" thickBot="1" x14ac:dyDescent="0.3">
      <c r="B46" s="51">
        <f>Fluxo_de_Caixa_Janeiro[[#This Row],[Fluxo de Caixa 2026 CTR]]</f>
        <v>0</v>
      </c>
      <c r="C46" s="35"/>
      <c r="D46" s="62"/>
      <c r="E46" s="62"/>
      <c r="F46" s="62"/>
      <c r="G46" s="62"/>
      <c r="H46" s="62"/>
      <c r="I46" s="35">
        <f>Fluxo_de_Caixa_Janeiro3459117[[#This Row],[JULHO]]</f>
        <v>0</v>
      </c>
      <c r="J46" s="62">
        <f>Fluxo_de_Caixa_Janeiro345911710[[#This Row],[AGOSTO]]</f>
        <v>0</v>
      </c>
      <c r="K46" s="62">
        <f>Fluxo_de_Caixa_Janeiro34591171012[[#This Row],[SETEMBRO]]</f>
        <v>0</v>
      </c>
      <c r="L46" s="62"/>
      <c r="M46" s="62"/>
      <c r="N46" s="119"/>
      <c r="O46" s="214">
        <f>SUM(Fluxo_de_Caixa_Janeiro310201314[[#This Row],[Janeiro]:[Dezembro]])</f>
        <v>0</v>
      </c>
      <c r="P46" s="140" t="str">
        <f t="shared" si="2"/>
        <v>0,00%</v>
      </c>
      <c r="Q46" s="63"/>
      <c r="R46" s="32" t="str">
        <f>IF(Fluxo_de_Caixa_Janeiro310201314[[#This Row],[% ACUMULADO  3º SEMEST 2026]]&gt;=Fluxo_de_Caixa_Janeiro310201314[[#This Row],[Coluna1]],"VERDADEIRO","FALSO")</f>
        <v>VERDADEIRO</v>
      </c>
    </row>
    <row r="47" spans="1:18" ht="15.75" hidden="1" thickBot="1" x14ac:dyDescent="0.3">
      <c r="B47" s="51">
        <f>Fluxo_de_Caixa_Janeiro[[#This Row],[Fluxo de Caixa 2026 CTR]]</f>
        <v>0</v>
      </c>
      <c r="C47" s="36"/>
      <c r="D47" s="82"/>
      <c r="E47" s="82"/>
      <c r="F47" s="82"/>
      <c r="G47" s="82"/>
      <c r="H47" s="82"/>
      <c r="I47" s="36">
        <f>Fluxo_de_Caixa_Janeiro3459117[[#This Row],[JULHO]]</f>
        <v>0</v>
      </c>
      <c r="J47" s="82">
        <f>Fluxo_de_Caixa_Janeiro345911710[[#This Row],[AGOSTO]]</f>
        <v>0</v>
      </c>
      <c r="K47" s="82">
        <f>Fluxo_de_Caixa_Janeiro34591171012[[#This Row],[SETEMBRO]]</f>
        <v>0</v>
      </c>
      <c r="L47" s="82"/>
      <c r="M47" s="82"/>
      <c r="N47" s="120"/>
      <c r="O47" s="215">
        <f>SUM(Fluxo_de_Caixa_Janeiro310201314[[#This Row],[Janeiro]:[Dezembro]])</f>
        <v>0</v>
      </c>
      <c r="P47" s="141" t="str">
        <f t="shared" si="2"/>
        <v>0,00%</v>
      </c>
      <c r="Q47" s="86"/>
      <c r="R47" s="32" t="str">
        <f>IF(Fluxo_de_Caixa_Janeiro310201314[[#This Row],[% ACUMULADO  3º SEMEST 2026]]&gt;=Fluxo_de_Caixa_Janeiro310201314[[#This Row],[Coluna1]],"VERDADEIRO","FALSO")</f>
        <v>VERDADEIRO</v>
      </c>
    </row>
    <row r="48" spans="1:18" s="1" customFormat="1" ht="24" thickBot="1" x14ac:dyDescent="0.4">
      <c r="A48" s="11" t="s">
        <v>55</v>
      </c>
      <c r="B48" s="48" t="str">
        <f>Fluxo_de_Caixa_Janeiro[[#This Row],[Fluxo de Caixa 2026 CTR]]</f>
        <v>1.5. Receita de Garantias</v>
      </c>
      <c r="C48" s="38"/>
      <c r="D48" s="87"/>
      <c r="E48" s="87"/>
      <c r="F48" s="87"/>
      <c r="G48" s="87"/>
      <c r="H48" s="87"/>
      <c r="I48" s="38">
        <f>Fluxo_de_Caixa_Janeiro3459117[[#This Row],[JULHO]]</f>
        <v>0</v>
      </c>
      <c r="J48" s="87">
        <f>Fluxo_de_Caixa_Janeiro345911710[[#This Row],[AGOSTO]]</f>
        <v>0</v>
      </c>
      <c r="K48" s="87">
        <f>Fluxo_de_Caixa_Janeiro34591171012[[#This Row],[SETEMBRO]]</f>
        <v>0</v>
      </c>
      <c r="L48" s="87"/>
      <c r="M48" s="87"/>
      <c r="N48" s="125"/>
      <c r="O48" s="216">
        <f>SUM(Fluxo_de_Caixa_Janeiro310201314[[#This Row],[Janeiro]:[Dezembro]])</f>
        <v>0</v>
      </c>
      <c r="P48" s="19">
        <f>SUM(P49:P51)</f>
        <v>0</v>
      </c>
      <c r="Q48" s="69"/>
      <c r="R48" s="32"/>
    </row>
    <row r="49" spans="1:18" x14ac:dyDescent="0.25">
      <c r="B49" s="49" t="str">
        <f>Fluxo_de_Caixa_Janeiro[[#This Row],[Fluxo de Caixa 2026 CTR]]</f>
        <v>1.2.01. RECEITA EM DINHEIRO</v>
      </c>
      <c r="C49" s="41"/>
      <c r="D49" s="81"/>
      <c r="E49" s="81"/>
      <c r="F49" s="81"/>
      <c r="G49" s="81"/>
      <c r="H49" s="81"/>
      <c r="I49" s="41">
        <f>Fluxo_de_Caixa_Janeiro3459117[[#This Row],[JULHO]]</f>
        <v>0</v>
      </c>
      <c r="J49" s="81">
        <f>Fluxo_de_Caixa_Janeiro345911710[[#This Row],[AGOSTO]]</f>
        <v>0</v>
      </c>
      <c r="K49" s="81">
        <f>Fluxo_de_Caixa_Janeiro34591171012[[#This Row],[SETEMBRO]]</f>
        <v>0</v>
      </c>
      <c r="L49" s="81"/>
      <c r="M49" s="81"/>
      <c r="N49" s="118"/>
      <c r="O49" s="213">
        <f>SUM(Fluxo_de_Caixa_Janeiro310201314[[#This Row],[Janeiro]:[Dezembro]])</f>
        <v>0</v>
      </c>
      <c r="P49" s="29" t="str">
        <f>IF(O49=0,"0,00%",O49/$O$332)</f>
        <v>0,00%</v>
      </c>
      <c r="Q49" s="63"/>
      <c r="R49" s="32" t="str">
        <f>IF(Fluxo_de_Caixa_Janeiro310201314[[#This Row],[% ACUMULADO  3º SEMEST 2026]]&gt;=Fluxo_de_Caixa_Janeiro310201314[[#This Row],[Coluna1]],"VERDADEIRO","FALSO")</f>
        <v>VERDADEIRO</v>
      </c>
    </row>
    <row r="50" spans="1:18" ht="15.75" thickBot="1" x14ac:dyDescent="0.3">
      <c r="B50" s="50" t="str">
        <f>Fluxo_de_Caixa_Janeiro[[#This Row],[Fluxo de Caixa 2026 CTR]]</f>
        <v xml:space="preserve">1.2.02. RECEITA EM MERCADORIA </v>
      </c>
      <c r="C50" s="35"/>
      <c r="D50" s="62"/>
      <c r="E50" s="62"/>
      <c r="F50" s="62"/>
      <c r="G50" s="62"/>
      <c r="H50" s="62"/>
      <c r="I50" s="35">
        <f>Fluxo_de_Caixa_Janeiro3459117[[#This Row],[JULHO]]</f>
        <v>0</v>
      </c>
      <c r="J50" s="62">
        <f>Fluxo_de_Caixa_Janeiro345911710[[#This Row],[AGOSTO]]</f>
        <v>0</v>
      </c>
      <c r="K50" s="62">
        <f>Fluxo_de_Caixa_Janeiro34591171012[[#This Row],[SETEMBRO]]</f>
        <v>0</v>
      </c>
      <c r="L50" s="62"/>
      <c r="M50" s="62"/>
      <c r="N50" s="119"/>
      <c r="O50" s="214">
        <f>SUM(Fluxo_de_Caixa_Janeiro310201314[[#This Row],[Janeiro]:[Dezembro]])</f>
        <v>0</v>
      </c>
      <c r="P50" s="140" t="str">
        <f>IF(O50=0,"0,00%",O50/$O$332)</f>
        <v>0,00%</v>
      </c>
      <c r="Q50" s="63"/>
      <c r="R50" s="32" t="str">
        <f>IF(Fluxo_de_Caixa_Janeiro310201314[[#This Row],[% ACUMULADO  3º SEMEST 2026]]&gt;=Fluxo_de_Caixa_Janeiro310201314[[#This Row],[Coluna1]],"VERDADEIRO","FALSO")</f>
        <v>VERDADEIRO</v>
      </c>
    </row>
    <row r="51" spans="1:18" ht="15.75" hidden="1" thickBot="1" x14ac:dyDescent="0.3">
      <c r="B51" s="58">
        <f>Fluxo_de_Caixa_Janeiro[[#This Row],[Fluxo de Caixa 2026 CTR]]</f>
        <v>0</v>
      </c>
      <c r="C51" s="36"/>
      <c r="D51" s="82"/>
      <c r="E51" s="82"/>
      <c r="F51" s="82"/>
      <c r="G51" s="82"/>
      <c r="H51" s="82"/>
      <c r="I51" s="36">
        <f>Fluxo_de_Caixa_Janeiro3459117[[#This Row],[JULHO]]</f>
        <v>0</v>
      </c>
      <c r="J51" s="82">
        <f>Fluxo_de_Caixa_Janeiro345911710[[#This Row],[AGOSTO]]</f>
        <v>0</v>
      </c>
      <c r="K51" s="82">
        <f>Fluxo_de_Caixa_Janeiro34591171012[[#This Row],[SETEMBRO]]</f>
        <v>0</v>
      </c>
      <c r="L51" s="82"/>
      <c r="M51" s="82"/>
      <c r="N51" s="120"/>
      <c r="O51" s="215">
        <f>SUM(Fluxo_de_Caixa_Janeiro310201314[[#This Row],[Janeiro]:[Dezembro]])</f>
        <v>0</v>
      </c>
      <c r="P51" s="142" t="str">
        <f>IF(O51=0,"0,00%",O51/$O$332)</f>
        <v>0,00%</v>
      </c>
      <c r="Q51" s="86"/>
      <c r="R51" s="32" t="str">
        <f>IF(Fluxo_de_Caixa_Janeiro310201314[[#This Row],[% ACUMULADO  3º SEMEST 2026]]&gt;=Fluxo_de_Caixa_Janeiro310201314[[#This Row],[Coluna1]],"VERDADEIRO","FALSO")</f>
        <v>VERDADEIRO</v>
      </c>
    </row>
    <row r="52" spans="1:18" s="2" customFormat="1" ht="24" thickBot="1" x14ac:dyDescent="0.4">
      <c r="A52" s="12" t="s">
        <v>22</v>
      </c>
      <c r="B52" s="53" t="str">
        <f>Fluxo_de_Caixa_Janeiro[[#This Row],[Fluxo de Caixa 2026 CTR]]</f>
        <v>2.1. Despesa Com Custo de Aquisição</v>
      </c>
      <c r="C52" s="42"/>
      <c r="D52" s="88"/>
      <c r="E52" s="88"/>
      <c r="F52" s="88"/>
      <c r="G52" s="88"/>
      <c r="H52" s="88"/>
      <c r="I52" s="42">
        <f>Fluxo_de_Caixa_Janeiro3459117[[#This Row],[JULHO]]</f>
        <v>0</v>
      </c>
      <c r="J52" s="88">
        <f>Fluxo_de_Caixa_Janeiro345911710[[#This Row],[AGOSTO]]</f>
        <v>0</v>
      </c>
      <c r="K52" s="88">
        <f>Fluxo_de_Caixa_Janeiro34591171012[[#This Row],[SETEMBRO]]</f>
        <v>0</v>
      </c>
      <c r="L52" s="88"/>
      <c r="M52" s="88"/>
      <c r="N52" s="126"/>
      <c r="O52" s="217">
        <f>SUM(Fluxo_de_Caixa_Janeiro310201314[[#This Row],[Janeiro]:[Dezembro]])</f>
        <v>0</v>
      </c>
      <c r="P52" s="21">
        <f>-IFERROR(O52/$O$27,"0,00")</f>
        <v>0</v>
      </c>
      <c r="Q52" s="70"/>
      <c r="R52" s="32" t="str">
        <f>IF(Fluxo_de_Caixa_Janeiro310201314[[#This Row],[% ACUMULADO  3º SEMEST 2026]]&lt;=Fluxo_de_Caixa_Janeiro310201314[[#This Row],[Coluna1]],"VERDADEIRO","FALSO")</f>
        <v>VERDADEIRO</v>
      </c>
    </row>
    <row r="53" spans="1:18" x14ac:dyDescent="0.25">
      <c r="B53" s="166" t="str">
        <f>Fluxo_de_Caixa_Janeiro[[#This Row],[Fluxo de Caixa 2026 CTR]]</f>
        <v>2.1.01.FORNECEDORES DE MERCADORIAS REVENDA</v>
      </c>
      <c r="C53" s="41"/>
      <c r="D53" s="81"/>
      <c r="E53" s="81"/>
      <c r="F53" s="81"/>
      <c r="G53" s="81"/>
      <c r="H53" s="81"/>
      <c r="I53" s="41">
        <f>Fluxo_de_Caixa_Janeiro3459117[[#This Row],[JULHO]]</f>
        <v>0</v>
      </c>
      <c r="J53" s="81">
        <f>Fluxo_de_Caixa_Janeiro345911710[[#This Row],[AGOSTO]]</f>
        <v>0</v>
      </c>
      <c r="K53" s="81">
        <f>Fluxo_de_Caixa_Janeiro34591171012[[#This Row],[SETEMBRO]]</f>
        <v>0</v>
      </c>
      <c r="L53" s="81"/>
      <c r="M53" s="81"/>
      <c r="N53" s="118"/>
      <c r="O53" s="218">
        <f>SUM(Fluxo_de_Caixa_Janeiro310201314[[#This Row],[Janeiro]:[Dezembro]])</f>
        <v>0</v>
      </c>
      <c r="P53" s="192" t="str">
        <f t="shared" ref="P53:P59" si="3">IFERROR(O53/$O$27,"0,00%")</f>
        <v>0,00%</v>
      </c>
      <c r="Q53" s="71"/>
      <c r="R53" s="32" t="str">
        <f>IF(Fluxo_de_Caixa_Janeiro310201314[[#This Row],[% ACUMULADO  3º SEMEST 2026]]&lt;=Fluxo_de_Caixa_Janeiro310201314[[#This Row],[Coluna1]],"VERDADEIRO","FALSO")</f>
        <v>FALSO</v>
      </c>
    </row>
    <row r="54" spans="1:18" x14ac:dyDescent="0.25">
      <c r="B54" s="52" t="str">
        <f>Fluxo_de_Caixa_Janeiro[[#This Row],[Fluxo de Caixa 2026 CTR]]</f>
        <v>2.1.02.ADIANT. FORNEC. MERCA. REVENDA</v>
      </c>
      <c r="C54" s="35"/>
      <c r="D54" s="62"/>
      <c r="E54" s="62"/>
      <c r="F54" s="62"/>
      <c r="G54" s="62"/>
      <c r="H54" s="62"/>
      <c r="I54" s="35">
        <f>Fluxo_de_Caixa_Janeiro3459117[[#This Row],[JULHO]]</f>
        <v>0</v>
      </c>
      <c r="J54" s="62">
        <f>Fluxo_de_Caixa_Janeiro345911710[[#This Row],[AGOSTO]]</f>
        <v>0</v>
      </c>
      <c r="K54" s="62">
        <f>Fluxo_de_Caixa_Janeiro34591171012[[#This Row],[SETEMBRO]]</f>
        <v>0</v>
      </c>
      <c r="L54" s="62"/>
      <c r="M54" s="62"/>
      <c r="N54" s="119"/>
      <c r="O54" s="219">
        <f>SUM(Fluxo_de_Caixa_Janeiro310201314[[#This Row],[Janeiro]:[Dezembro]])</f>
        <v>0</v>
      </c>
      <c r="P54" s="192" t="str">
        <f t="shared" si="3"/>
        <v>0,00%</v>
      </c>
      <c r="Q54" s="71"/>
      <c r="R54" s="32" t="str">
        <f>IF(Fluxo_de_Caixa_Janeiro310201314[[#This Row],[% ACUMULADO  3º SEMEST 2026]]&lt;=Fluxo_de_Caixa_Janeiro310201314[[#This Row],[Coluna1]],"VERDADEIRO","FALSO")</f>
        <v>FALSO</v>
      </c>
    </row>
    <row r="55" spans="1:18" x14ac:dyDescent="0.25">
      <c r="B55" s="52" t="str">
        <f>Fluxo_de_Caixa_Janeiro[[#This Row],[Fluxo de Caixa 2026 CTR]]</f>
        <v>2.1.03.TRANSPORTADORA MERCA. REVENDA</v>
      </c>
      <c r="C55" s="35"/>
      <c r="D55" s="62"/>
      <c r="E55" s="62"/>
      <c r="F55" s="62"/>
      <c r="G55" s="62"/>
      <c r="H55" s="62"/>
      <c r="I55" s="35">
        <f>Fluxo_de_Caixa_Janeiro3459117[[#This Row],[JULHO]]</f>
        <v>0</v>
      </c>
      <c r="J55" s="62">
        <f>Fluxo_de_Caixa_Janeiro345911710[[#This Row],[AGOSTO]]</f>
        <v>0</v>
      </c>
      <c r="K55" s="62">
        <f>Fluxo_de_Caixa_Janeiro34591171012[[#This Row],[SETEMBRO]]</f>
        <v>0</v>
      </c>
      <c r="L55" s="62"/>
      <c r="M55" s="62"/>
      <c r="N55" s="119"/>
      <c r="O55" s="219">
        <f>SUM(Fluxo_de_Caixa_Janeiro310201314[[#This Row],[Janeiro]:[Dezembro]])</f>
        <v>0</v>
      </c>
      <c r="P55" s="192" t="str">
        <f t="shared" si="3"/>
        <v>0,00%</v>
      </c>
      <c r="Q55" s="71"/>
      <c r="R55" s="32" t="str">
        <f>IF(Fluxo_de_Caixa_Janeiro310201314[[#This Row],[% ACUMULADO  3º SEMEST 2026]]&lt;=Fluxo_de_Caixa_Janeiro310201314[[#This Row],[Coluna1]],"VERDADEIRO","FALSO")</f>
        <v>FALSO</v>
      </c>
    </row>
    <row r="56" spans="1:18" x14ac:dyDescent="0.25">
      <c r="B56" s="52" t="str">
        <f>Fluxo_de_Caixa_Janeiro[[#This Row],[Fluxo de Caixa 2026 CTR]]</f>
        <v>2.1.04.OUTROS CUSTOS DE MERC.REVENDA</v>
      </c>
      <c r="C56" s="35"/>
      <c r="D56" s="62"/>
      <c r="E56" s="62"/>
      <c r="F56" s="62"/>
      <c r="G56" s="62"/>
      <c r="H56" s="62"/>
      <c r="I56" s="35">
        <f>Fluxo_de_Caixa_Janeiro3459117[[#This Row],[JULHO]]</f>
        <v>0</v>
      </c>
      <c r="J56" s="62">
        <f>Fluxo_de_Caixa_Janeiro345911710[[#This Row],[AGOSTO]]</f>
        <v>0</v>
      </c>
      <c r="K56" s="62">
        <f>Fluxo_de_Caixa_Janeiro34591171012[[#This Row],[SETEMBRO]]</f>
        <v>0</v>
      </c>
      <c r="L56" s="62"/>
      <c r="M56" s="62"/>
      <c r="N56" s="119"/>
      <c r="O56" s="219">
        <f>SUM(Fluxo_de_Caixa_Janeiro310201314[[#This Row],[Janeiro]:[Dezembro]])</f>
        <v>0</v>
      </c>
      <c r="P56" s="192" t="str">
        <f t="shared" si="3"/>
        <v>0,00%</v>
      </c>
      <c r="Q56" s="71"/>
      <c r="R56" s="32" t="str">
        <f>IF(Fluxo_de_Caixa_Janeiro310201314[[#This Row],[% ACUMULADO  3º SEMEST 2026]]&lt;=Fluxo_de_Caixa_Janeiro310201314[[#This Row],[Coluna1]],"VERDADEIRO","FALSO")</f>
        <v>FALSO</v>
      </c>
    </row>
    <row r="57" spans="1:18" ht="15.75" thickBot="1" x14ac:dyDescent="0.3">
      <c r="B57" s="52" t="str">
        <f>Fluxo_de_Caixa_Janeiro[[#This Row],[Fluxo de Caixa 2026 CTR]]</f>
        <v>2.1.05.TRANSFE DE MERCAD REVENDA MATRIZ</v>
      </c>
      <c r="C57" s="35"/>
      <c r="D57" s="62"/>
      <c r="E57" s="62"/>
      <c r="F57" s="62"/>
      <c r="G57" s="62"/>
      <c r="H57" s="62"/>
      <c r="I57" s="35">
        <f>Fluxo_de_Caixa_Janeiro3459117[[#This Row],[JULHO]]</f>
        <v>0</v>
      </c>
      <c r="J57" s="62">
        <f>Fluxo_de_Caixa_Janeiro345911710[[#This Row],[AGOSTO]]</f>
        <v>0</v>
      </c>
      <c r="K57" s="62">
        <f>Fluxo_de_Caixa_Janeiro34591171012[[#This Row],[SETEMBRO]]</f>
        <v>0</v>
      </c>
      <c r="L57" s="62"/>
      <c r="M57" s="62"/>
      <c r="N57" s="119"/>
      <c r="O57" s="219">
        <f>SUM(Fluxo_de_Caixa_Janeiro310201314[[#This Row],[Janeiro]:[Dezembro]])</f>
        <v>0</v>
      </c>
      <c r="P57" s="192" t="str">
        <f t="shared" si="3"/>
        <v>0,00%</v>
      </c>
      <c r="Q57" s="71"/>
      <c r="R57" s="32" t="str">
        <f>IF(Fluxo_de_Caixa_Janeiro310201314[[#This Row],[% ACUMULADO  3º SEMEST 2026]]&lt;=Fluxo_de_Caixa_Janeiro310201314[[#This Row],[Coluna1]],"VERDADEIRO","FALSO")</f>
        <v>FALSO</v>
      </c>
    </row>
    <row r="58" spans="1:18" ht="15.75" hidden="1" thickBot="1" x14ac:dyDescent="0.3">
      <c r="B58" s="52">
        <f>Fluxo_de_Caixa_Janeiro[[#This Row],[Fluxo de Caixa 2026 CTR]]</f>
        <v>0</v>
      </c>
      <c r="C58" s="35"/>
      <c r="D58" s="62"/>
      <c r="E58" s="62"/>
      <c r="F58" s="62"/>
      <c r="G58" s="62"/>
      <c r="H58" s="62"/>
      <c r="I58" s="35">
        <f>Fluxo_de_Caixa_Janeiro3459117[[#This Row],[JULHO]]</f>
        <v>0</v>
      </c>
      <c r="J58" s="62">
        <f>Fluxo_de_Caixa_Janeiro345911710[[#This Row],[AGOSTO]]</f>
        <v>0</v>
      </c>
      <c r="K58" s="62">
        <f>Fluxo_de_Caixa_Janeiro34591171012[[#This Row],[SETEMBRO]]</f>
        <v>0</v>
      </c>
      <c r="L58" s="62"/>
      <c r="M58" s="62"/>
      <c r="N58" s="119"/>
      <c r="O58" s="219">
        <f>SUM(Fluxo_de_Caixa_Janeiro310201314[[#This Row],[Janeiro]:[Dezembro]])</f>
        <v>0</v>
      </c>
      <c r="P58" s="192" t="str">
        <f t="shared" si="3"/>
        <v>0,00%</v>
      </c>
      <c r="Q58" s="71"/>
      <c r="R58" s="32" t="str">
        <f>IF(Fluxo_de_Caixa_Janeiro310201314[[#This Row],[% ACUMULADO  3º SEMEST 2026]]&lt;=Fluxo_de_Caixa_Janeiro310201314[[#This Row],[Coluna1]],"VERDADEIRO","FALSO")</f>
        <v>FALSO</v>
      </c>
    </row>
    <row r="59" spans="1:18" ht="15.75" hidden="1" thickBot="1" x14ac:dyDescent="0.3">
      <c r="B59" s="167">
        <f>Fluxo_de_Caixa_Janeiro[[#This Row],[Fluxo de Caixa 2026 CTR]]</f>
        <v>0</v>
      </c>
      <c r="C59" s="36"/>
      <c r="D59" s="82"/>
      <c r="E59" s="82"/>
      <c r="F59" s="82"/>
      <c r="G59" s="82"/>
      <c r="H59" s="82"/>
      <c r="I59" s="36">
        <f>Fluxo_de_Caixa_Janeiro3459117[[#This Row],[JULHO]]</f>
        <v>0</v>
      </c>
      <c r="J59" s="82">
        <f>Fluxo_de_Caixa_Janeiro345911710[[#This Row],[AGOSTO]]</f>
        <v>0</v>
      </c>
      <c r="K59" s="82">
        <f>Fluxo_de_Caixa_Janeiro34591171012[[#This Row],[SETEMBRO]]</f>
        <v>0</v>
      </c>
      <c r="L59" s="82"/>
      <c r="M59" s="82"/>
      <c r="N59" s="120"/>
      <c r="O59" s="220">
        <f>SUM(Fluxo_de_Caixa_Janeiro310201314[[#This Row],[Janeiro]:[Dezembro]])</f>
        <v>0</v>
      </c>
      <c r="P59" s="192" t="str">
        <f t="shared" si="3"/>
        <v>0,00%</v>
      </c>
      <c r="Q59" s="89"/>
      <c r="R59" s="32" t="str">
        <f>IF(Fluxo_de_Caixa_Janeiro310201314[[#This Row],[% ACUMULADO  3º SEMEST 2026]]&lt;=Fluxo_de_Caixa_Janeiro310201314[[#This Row],[Coluna1]],"VERDADEIRO","FALSO")</f>
        <v>FALSO</v>
      </c>
    </row>
    <row r="60" spans="1:18" s="2" customFormat="1" ht="24" thickBot="1" x14ac:dyDescent="0.4">
      <c r="A60" s="12" t="s">
        <v>10</v>
      </c>
      <c r="B60" s="53" t="str">
        <f>Fluxo_de_Caixa_Janeiro[[#This Row],[Fluxo de Caixa 2026 CTR]]</f>
        <v>2.2. Inadimplência e Perdas</v>
      </c>
      <c r="C60" s="42"/>
      <c r="D60" s="88"/>
      <c r="E60" s="88"/>
      <c r="F60" s="88"/>
      <c r="G60" s="88"/>
      <c r="H60" s="88"/>
      <c r="I60" s="42">
        <f>Fluxo_de_Caixa_Janeiro3459117[[#This Row],[JULHO]]</f>
        <v>0</v>
      </c>
      <c r="J60" s="88">
        <f>Fluxo_de_Caixa_Janeiro345911710[[#This Row],[AGOSTO]]</f>
        <v>0</v>
      </c>
      <c r="K60" s="88">
        <f>Fluxo_de_Caixa_Janeiro34591171012[[#This Row],[SETEMBRO]]</f>
        <v>0</v>
      </c>
      <c r="L60" s="88"/>
      <c r="M60" s="88"/>
      <c r="N60" s="126"/>
      <c r="O60" s="217">
        <f>SUM(Fluxo_de_Caixa_Janeiro310201314[[#This Row],[Janeiro]:[Dezembro]])</f>
        <v>0</v>
      </c>
      <c r="P60" s="21">
        <f>-IFERROR(C60/$C$27,"0,00")</f>
        <v>0</v>
      </c>
      <c r="Q60" s="70"/>
      <c r="R60" s="32" t="str">
        <f>IF(Fluxo_de_Caixa_Janeiro310201314[[#This Row],[% ACUMULADO  3º SEMEST 2026]]&lt;=Fluxo_de_Caixa_Janeiro310201314[[#This Row],[Coluna1]],"VERDADEIRO","FALSO")</f>
        <v>VERDADEIRO</v>
      </c>
    </row>
    <row r="61" spans="1:18" x14ac:dyDescent="0.25">
      <c r="B61" s="166" t="str">
        <f>Fluxo_de_Caixa_Janeiro[[#This Row],[Fluxo de Caixa 2026 CTR]]</f>
        <v>2.2.01.CONTAS PERDIDAS/NÃO PAGAS</v>
      </c>
      <c r="C61" s="41"/>
      <c r="D61" s="81"/>
      <c r="E61" s="81"/>
      <c r="F61" s="81"/>
      <c r="G61" s="81"/>
      <c r="H61" s="81"/>
      <c r="I61" s="41">
        <f>Fluxo_de_Caixa_Janeiro3459117[[#This Row],[JULHO]]</f>
        <v>0</v>
      </c>
      <c r="J61" s="81">
        <f>Fluxo_de_Caixa_Janeiro345911710[[#This Row],[AGOSTO]]</f>
        <v>0</v>
      </c>
      <c r="K61" s="81">
        <f>Fluxo_de_Caixa_Janeiro34591171012[[#This Row],[SETEMBRO]]</f>
        <v>0</v>
      </c>
      <c r="L61" s="81"/>
      <c r="M61" s="81"/>
      <c r="N61" s="118"/>
      <c r="O61" s="218">
        <f>SUM(Fluxo_de_Caixa_Janeiro310201314[[#This Row],[Janeiro]:[Dezembro]])</f>
        <v>0</v>
      </c>
      <c r="P61" s="192" t="str">
        <f t="shared" ref="P61:P69" si="4">IFERROR(O61/$O$27,"0,00%")</f>
        <v>0,00%</v>
      </c>
      <c r="Q61" s="71"/>
      <c r="R61" s="32" t="str">
        <f>IF(Fluxo_de_Caixa_Janeiro310201314[[#This Row],[% ACUMULADO  3º SEMEST 2026]]&lt;=Fluxo_de_Caixa_Janeiro310201314[[#This Row],[Coluna1]],"VERDADEIRO","FALSO")</f>
        <v>FALSO</v>
      </c>
    </row>
    <row r="62" spans="1:18" x14ac:dyDescent="0.25">
      <c r="B62" s="52" t="str">
        <f>Fluxo_de_Caixa_Janeiro[[#This Row],[Fluxo de Caixa 2026 CTR]]</f>
        <v>2.2.02.BOLETOS DESCONTADOS DEVOLVIDOS</v>
      </c>
      <c r="C62" s="35"/>
      <c r="D62" s="62"/>
      <c r="E62" s="62"/>
      <c r="F62" s="62"/>
      <c r="G62" s="62"/>
      <c r="H62" s="62"/>
      <c r="I62" s="35">
        <f>Fluxo_de_Caixa_Janeiro3459117[[#This Row],[JULHO]]</f>
        <v>0</v>
      </c>
      <c r="J62" s="62">
        <f>Fluxo_de_Caixa_Janeiro345911710[[#This Row],[AGOSTO]]</f>
        <v>0</v>
      </c>
      <c r="K62" s="62">
        <f>Fluxo_de_Caixa_Janeiro34591171012[[#This Row],[SETEMBRO]]</f>
        <v>0</v>
      </c>
      <c r="L62" s="62"/>
      <c r="M62" s="62"/>
      <c r="N62" s="119"/>
      <c r="O62" s="219">
        <f>SUM(Fluxo_de_Caixa_Janeiro310201314[[#This Row],[Janeiro]:[Dezembro]])</f>
        <v>0</v>
      </c>
      <c r="P62" s="192" t="str">
        <f t="shared" si="4"/>
        <v>0,00%</v>
      </c>
      <c r="Q62" s="72"/>
      <c r="R62" s="32" t="str">
        <f>IF(Fluxo_de_Caixa_Janeiro310201314[[#This Row],[% ACUMULADO  3º SEMEST 2026]]&lt;=Fluxo_de_Caixa_Janeiro310201314[[#This Row],[Coluna1]],"VERDADEIRO","FALSO")</f>
        <v>FALSO</v>
      </c>
    </row>
    <row r="63" spans="1:18" x14ac:dyDescent="0.25">
      <c r="B63" s="52" t="str">
        <f>Fluxo_de_Caixa_Janeiro[[#This Row],[Fluxo de Caixa 2026 CTR]]</f>
        <v>2.2.03.CHEQUES DEVOLVIDOS</v>
      </c>
      <c r="C63" s="35"/>
      <c r="D63" s="62"/>
      <c r="E63" s="62"/>
      <c r="F63" s="62"/>
      <c r="G63" s="62"/>
      <c r="H63" s="62"/>
      <c r="I63" s="35">
        <f>Fluxo_de_Caixa_Janeiro3459117[[#This Row],[JULHO]]</f>
        <v>0</v>
      </c>
      <c r="J63" s="62">
        <f>Fluxo_de_Caixa_Janeiro345911710[[#This Row],[AGOSTO]]</f>
        <v>0</v>
      </c>
      <c r="K63" s="62">
        <f>Fluxo_de_Caixa_Janeiro34591171012[[#This Row],[SETEMBRO]]</f>
        <v>0</v>
      </c>
      <c r="L63" s="62"/>
      <c r="M63" s="62"/>
      <c r="N63" s="119"/>
      <c r="O63" s="219">
        <f>SUM(Fluxo_de_Caixa_Janeiro310201314[[#This Row],[Janeiro]:[Dezembro]])</f>
        <v>0</v>
      </c>
      <c r="P63" s="192" t="str">
        <f t="shared" si="4"/>
        <v>0,00%</v>
      </c>
      <c r="Q63" s="72"/>
      <c r="R63" s="32" t="str">
        <f>IF(Fluxo_de_Caixa_Janeiro310201314[[#This Row],[% ACUMULADO  3º SEMEST 2026]]&lt;=Fluxo_de_Caixa_Janeiro310201314[[#This Row],[Coluna1]],"VERDADEIRO","FALSO")</f>
        <v>FALSO</v>
      </c>
    </row>
    <row r="64" spans="1:18" x14ac:dyDescent="0.25">
      <c r="B64" s="52" t="str">
        <f>Fluxo_de_Caixa_Janeiro[[#This Row],[Fluxo de Caixa 2026 CTR]]</f>
        <v>2.2.04.BOLETOS DESCONTADOS DEVOLVIDOS</v>
      </c>
      <c r="C64" s="35"/>
      <c r="D64" s="62"/>
      <c r="E64" s="62"/>
      <c r="F64" s="62"/>
      <c r="G64" s="62"/>
      <c r="H64" s="62"/>
      <c r="I64" s="35">
        <f>Fluxo_de_Caixa_Janeiro3459117[[#This Row],[JULHO]]</f>
        <v>0</v>
      </c>
      <c r="J64" s="62">
        <f>Fluxo_de_Caixa_Janeiro345911710[[#This Row],[AGOSTO]]</f>
        <v>0</v>
      </c>
      <c r="K64" s="62">
        <f>Fluxo_de_Caixa_Janeiro34591171012[[#This Row],[SETEMBRO]]</f>
        <v>0</v>
      </c>
      <c r="L64" s="62"/>
      <c r="M64" s="62"/>
      <c r="N64" s="119"/>
      <c r="O64" s="219">
        <f>SUM(Fluxo_de_Caixa_Janeiro310201314[[#This Row],[Janeiro]:[Dezembro]])</f>
        <v>0</v>
      </c>
      <c r="P64" s="192" t="str">
        <f t="shared" si="4"/>
        <v>0,00%</v>
      </c>
      <c r="Q64" s="72"/>
      <c r="R64" s="32" t="str">
        <f>IF(Fluxo_de_Caixa_Janeiro310201314[[#This Row],[% ACUMULADO  3º SEMEST 2026]]&lt;=Fluxo_de_Caixa_Janeiro310201314[[#This Row],[Coluna1]],"VERDADEIRO","FALSO")</f>
        <v>FALSO</v>
      </c>
    </row>
    <row r="65" spans="1:18" ht="15.75" thickBot="1" x14ac:dyDescent="0.3">
      <c r="B65" s="52" t="str">
        <f>Fluxo_de_Caixa_Janeiro[[#This Row],[Fluxo de Caixa 2026 CTR]]</f>
        <v>2.2.05.PERDA,  ROUBO  E  DETERIORAÇÃO</v>
      </c>
      <c r="C65" s="35"/>
      <c r="D65" s="62"/>
      <c r="E65" s="62"/>
      <c r="F65" s="62"/>
      <c r="G65" s="62"/>
      <c r="H65" s="62"/>
      <c r="I65" s="35">
        <f>Fluxo_de_Caixa_Janeiro3459117[[#This Row],[JULHO]]</f>
        <v>0</v>
      </c>
      <c r="J65" s="62">
        <f>Fluxo_de_Caixa_Janeiro345911710[[#This Row],[AGOSTO]]</f>
        <v>0</v>
      </c>
      <c r="K65" s="62">
        <f>Fluxo_de_Caixa_Janeiro34591171012[[#This Row],[SETEMBRO]]</f>
        <v>0</v>
      </c>
      <c r="L65" s="62"/>
      <c r="M65" s="62"/>
      <c r="N65" s="119"/>
      <c r="O65" s="219">
        <f>SUM(Fluxo_de_Caixa_Janeiro310201314[[#This Row],[Janeiro]:[Dezembro]])</f>
        <v>0</v>
      </c>
      <c r="P65" s="192" t="str">
        <f t="shared" si="4"/>
        <v>0,00%</v>
      </c>
      <c r="Q65" s="72"/>
      <c r="R65" s="32" t="str">
        <f>IF(Fluxo_de_Caixa_Janeiro310201314[[#This Row],[% ACUMULADO  3º SEMEST 2026]]&lt;=Fluxo_de_Caixa_Janeiro310201314[[#This Row],[Coluna1]],"VERDADEIRO","FALSO")</f>
        <v>FALSO</v>
      </c>
    </row>
    <row r="66" spans="1:18" ht="15.75" hidden="1" thickBot="1" x14ac:dyDescent="0.3">
      <c r="B66" s="52">
        <f>Fluxo_de_Caixa_Janeiro[[#This Row],[Fluxo de Caixa 2026 CTR]]</f>
        <v>0</v>
      </c>
      <c r="C66" s="35"/>
      <c r="D66" s="62"/>
      <c r="E66" s="62"/>
      <c r="F66" s="62"/>
      <c r="G66" s="62"/>
      <c r="H66" s="62"/>
      <c r="I66" s="35">
        <f>Fluxo_de_Caixa_Janeiro3459117[[#This Row],[JULHO]]</f>
        <v>0</v>
      </c>
      <c r="J66" s="62">
        <f>Fluxo_de_Caixa_Janeiro345911710[[#This Row],[AGOSTO]]</f>
        <v>0</v>
      </c>
      <c r="K66" s="62">
        <f>Fluxo_de_Caixa_Janeiro34591171012[[#This Row],[SETEMBRO]]</f>
        <v>0</v>
      </c>
      <c r="L66" s="62"/>
      <c r="M66" s="62"/>
      <c r="N66" s="119"/>
      <c r="O66" s="219">
        <f>SUM(Fluxo_de_Caixa_Janeiro310201314[[#This Row],[Janeiro]:[Dezembro]])</f>
        <v>0</v>
      </c>
      <c r="P66" s="192" t="str">
        <f t="shared" si="4"/>
        <v>0,00%</v>
      </c>
      <c r="Q66" s="72"/>
      <c r="R66" s="32" t="str">
        <f>IF(Fluxo_de_Caixa_Janeiro310201314[[#This Row],[% ACUMULADO  3º SEMEST 2026]]&lt;=Fluxo_de_Caixa_Janeiro310201314[[#This Row],[Coluna1]],"VERDADEIRO","FALSO")</f>
        <v>FALSO</v>
      </c>
    </row>
    <row r="67" spans="1:18" ht="15.75" hidden="1" thickBot="1" x14ac:dyDescent="0.3">
      <c r="B67" s="52">
        <f>Fluxo_de_Caixa_Janeiro[[#This Row],[Fluxo de Caixa 2026 CTR]]</f>
        <v>0</v>
      </c>
      <c r="C67" s="35"/>
      <c r="D67" s="62"/>
      <c r="E67" s="62"/>
      <c r="F67" s="62"/>
      <c r="G67" s="62"/>
      <c r="H67" s="62"/>
      <c r="I67" s="35">
        <f>Fluxo_de_Caixa_Janeiro3459117[[#This Row],[JULHO]]</f>
        <v>0</v>
      </c>
      <c r="J67" s="62">
        <f>Fluxo_de_Caixa_Janeiro345911710[[#This Row],[AGOSTO]]</f>
        <v>0</v>
      </c>
      <c r="K67" s="62">
        <f>Fluxo_de_Caixa_Janeiro34591171012[[#This Row],[SETEMBRO]]</f>
        <v>0</v>
      </c>
      <c r="L67" s="62"/>
      <c r="M67" s="62"/>
      <c r="N67" s="119"/>
      <c r="O67" s="219">
        <f>SUM(Fluxo_de_Caixa_Janeiro310201314[[#This Row],[Janeiro]:[Dezembro]])</f>
        <v>0</v>
      </c>
      <c r="P67" s="192" t="str">
        <f t="shared" si="4"/>
        <v>0,00%</v>
      </c>
      <c r="Q67" s="72"/>
      <c r="R67" s="32" t="str">
        <f>IF(Fluxo_de_Caixa_Janeiro310201314[[#This Row],[% ACUMULADO  3º SEMEST 2026]]&lt;=Fluxo_de_Caixa_Janeiro310201314[[#This Row],[Coluna1]],"VERDADEIRO","FALSO")</f>
        <v>FALSO</v>
      </c>
    </row>
    <row r="68" spans="1:18" ht="15.75" hidden="1" thickBot="1" x14ac:dyDescent="0.3">
      <c r="B68" s="52">
        <f>Fluxo_de_Caixa_Janeiro[[#This Row],[Fluxo de Caixa 2026 CTR]]</f>
        <v>0</v>
      </c>
      <c r="C68" s="35"/>
      <c r="D68" s="62"/>
      <c r="E68" s="62"/>
      <c r="F68" s="62"/>
      <c r="G68" s="62"/>
      <c r="H68" s="62"/>
      <c r="I68" s="35">
        <f>Fluxo_de_Caixa_Janeiro3459117[[#This Row],[JULHO]]</f>
        <v>0</v>
      </c>
      <c r="J68" s="62">
        <f>Fluxo_de_Caixa_Janeiro345911710[[#This Row],[AGOSTO]]</f>
        <v>0</v>
      </c>
      <c r="K68" s="62">
        <f>Fluxo_de_Caixa_Janeiro34591171012[[#This Row],[SETEMBRO]]</f>
        <v>0</v>
      </c>
      <c r="L68" s="62"/>
      <c r="M68" s="62"/>
      <c r="N68" s="119"/>
      <c r="O68" s="219">
        <f>SUM(Fluxo_de_Caixa_Janeiro310201314[[#This Row],[Janeiro]:[Dezembro]])</f>
        <v>0</v>
      </c>
      <c r="P68" s="192" t="str">
        <f t="shared" si="4"/>
        <v>0,00%</v>
      </c>
      <c r="Q68" s="72"/>
      <c r="R68" s="32" t="str">
        <f>IF(Fluxo_de_Caixa_Janeiro310201314[[#This Row],[% ACUMULADO  3º SEMEST 2026]]&lt;=Fluxo_de_Caixa_Janeiro310201314[[#This Row],[Coluna1]],"VERDADEIRO","FALSO")</f>
        <v>FALSO</v>
      </c>
    </row>
    <row r="69" spans="1:18" ht="15.75" hidden="1" thickBot="1" x14ac:dyDescent="0.3">
      <c r="B69" s="167">
        <f>Fluxo_de_Caixa_Janeiro[[#This Row],[Fluxo de Caixa 2026 CTR]]</f>
        <v>0</v>
      </c>
      <c r="C69" s="36"/>
      <c r="D69" s="82"/>
      <c r="E69" s="82"/>
      <c r="F69" s="82"/>
      <c r="G69" s="82"/>
      <c r="H69" s="82"/>
      <c r="I69" s="36">
        <f>Fluxo_de_Caixa_Janeiro3459117[[#This Row],[JULHO]]</f>
        <v>0</v>
      </c>
      <c r="J69" s="82">
        <f>Fluxo_de_Caixa_Janeiro345911710[[#This Row],[AGOSTO]]</f>
        <v>0</v>
      </c>
      <c r="K69" s="82">
        <f>Fluxo_de_Caixa_Janeiro34591171012[[#This Row],[SETEMBRO]]</f>
        <v>0</v>
      </c>
      <c r="L69" s="82"/>
      <c r="M69" s="82"/>
      <c r="N69" s="120"/>
      <c r="O69" s="220">
        <f>SUM(Fluxo_de_Caixa_Janeiro310201314[[#This Row],[Janeiro]:[Dezembro]])</f>
        <v>0</v>
      </c>
      <c r="P69" s="192" t="str">
        <f t="shared" si="4"/>
        <v>0,00%</v>
      </c>
      <c r="Q69" s="90"/>
      <c r="R69" s="32" t="str">
        <f>IF(Fluxo_de_Caixa_Janeiro310201314[[#This Row],[% ACUMULADO  3º SEMEST 2026]]&lt;=Fluxo_de_Caixa_Janeiro310201314[[#This Row],[Coluna1]],"VERDADEIRO","FALSO")</f>
        <v>FALSO</v>
      </c>
    </row>
    <row r="70" spans="1:18" s="3" customFormat="1" ht="24" thickBot="1" x14ac:dyDescent="0.4">
      <c r="A70" s="13" t="s">
        <v>9</v>
      </c>
      <c r="B70" s="53" t="str">
        <f>Fluxo_de_Caixa_Janeiro[[#This Row],[Fluxo de Caixa 2026 CTR]]</f>
        <v>2.3. Impostos</v>
      </c>
      <c r="C70" s="43"/>
      <c r="D70" s="91"/>
      <c r="E70" s="91"/>
      <c r="F70" s="91"/>
      <c r="G70" s="91"/>
      <c r="H70" s="91"/>
      <c r="I70" s="43">
        <f>Fluxo_de_Caixa_Janeiro3459117[[#This Row],[JULHO]]</f>
        <v>0</v>
      </c>
      <c r="J70" s="91">
        <f>Fluxo_de_Caixa_Janeiro345911710[[#This Row],[AGOSTO]]</f>
        <v>0</v>
      </c>
      <c r="K70" s="91">
        <f>Fluxo_de_Caixa_Janeiro34591171012[[#This Row],[SETEMBRO]]</f>
        <v>0</v>
      </c>
      <c r="L70" s="91"/>
      <c r="M70" s="91"/>
      <c r="N70" s="127"/>
      <c r="O70" s="217">
        <f>SUM(Fluxo_de_Caixa_Janeiro310201314[[#This Row],[Janeiro]:[Dezembro]])</f>
        <v>0</v>
      </c>
      <c r="P70" s="22">
        <f>-IFERROR(C70/$C$27,"0,00")</f>
        <v>0</v>
      </c>
      <c r="Q70" s="73"/>
      <c r="R70" s="32" t="str">
        <f>IF(Fluxo_de_Caixa_Janeiro310201314[[#This Row],[% ACUMULADO  3º SEMEST 2026]]&lt;=Fluxo_de_Caixa_Janeiro310201314[[#This Row],[Coluna1]],"VERDADEIRO","FALSO")</f>
        <v>VERDADEIRO</v>
      </c>
    </row>
    <row r="71" spans="1:18" hidden="1" x14ac:dyDescent="0.25">
      <c r="B71" s="272">
        <f>Fluxo_de_Caixa_Janeiro[[#This Row],[Fluxo de Caixa 2026 CTR]]</f>
        <v>0</v>
      </c>
      <c r="C71" s="41"/>
      <c r="D71" s="81"/>
      <c r="E71" s="81"/>
      <c r="F71" s="81"/>
      <c r="G71" s="81"/>
      <c r="H71" s="81"/>
      <c r="I71" s="41">
        <f>Fluxo_de_Caixa_Janeiro3459117[[#This Row],[JULHO]]</f>
        <v>0</v>
      </c>
      <c r="J71" s="81">
        <f>Fluxo_de_Caixa_Janeiro345911710[[#This Row],[AGOSTO]]</f>
        <v>0</v>
      </c>
      <c r="K71" s="81">
        <f>Fluxo_de_Caixa_Janeiro34591171012[[#This Row],[SETEMBRO]]</f>
        <v>0</v>
      </c>
      <c r="L71" s="81"/>
      <c r="M71" s="81"/>
      <c r="N71" s="118"/>
      <c r="O71" s="218">
        <f>SUM(Fluxo_de_Caixa_Janeiro310201314[[#This Row],[Janeiro]:[Dezembro]])</f>
        <v>0</v>
      </c>
      <c r="P71" s="192" t="str">
        <f t="shared" ref="P71:P84" si="5">IFERROR(O71/$O$27,"0,00%")</f>
        <v>0,00%</v>
      </c>
      <c r="Q71" s="71"/>
      <c r="R71" s="32" t="str">
        <f>IF(Fluxo_de_Caixa_Janeiro310201314[[#This Row],[% ACUMULADO  3º SEMEST 2026]]&lt;=Fluxo_de_Caixa_Janeiro310201314[[#This Row],[Coluna1]],"VERDADEIRO","FALSO")</f>
        <v>FALSO</v>
      </c>
    </row>
    <row r="72" spans="1:18" x14ac:dyDescent="0.25">
      <c r="B72" s="267" t="str">
        <f>Fluxo_de_Caixa_Janeiro[[#This Row],[Fluxo de Caixa 2026 CTR]]</f>
        <v xml:space="preserve">2.3.02.IRPJ (SE ESTIVER NO CMV) </v>
      </c>
      <c r="C72" s="35"/>
      <c r="D72" s="62"/>
      <c r="E72" s="62"/>
      <c r="F72" s="62"/>
      <c r="G72" s="62"/>
      <c r="H72" s="62"/>
      <c r="I72" s="35">
        <f>Fluxo_de_Caixa_Janeiro3459117[[#This Row],[JULHO]]</f>
        <v>0</v>
      </c>
      <c r="J72" s="62">
        <f>Fluxo_de_Caixa_Janeiro345911710[[#This Row],[AGOSTO]]</f>
        <v>0</v>
      </c>
      <c r="K72" s="62">
        <f>Fluxo_de_Caixa_Janeiro34591171012[[#This Row],[SETEMBRO]]</f>
        <v>0</v>
      </c>
      <c r="L72" s="62"/>
      <c r="M72" s="62"/>
      <c r="N72" s="119"/>
      <c r="O72" s="219">
        <f>SUM(Fluxo_de_Caixa_Janeiro310201314[[#This Row],[Janeiro]:[Dezembro]])</f>
        <v>0</v>
      </c>
      <c r="P72" s="192" t="str">
        <f t="shared" si="5"/>
        <v>0,00%</v>
      </c>
      <c r="Q72" s="71"/>
      <c r="R72" s="32" t="str">
        <f>IF(Fluxo_de_Caixa_Janeiro310201314[[#This Row],[% ACUMULADO  3º SEMEST 2026]]&lt;=Fluxo_de_Caixa_Janeiro310201314[[#This Row],[Coluna1]],"VERDADEIRO","FALSO")</f>
        <v>FALSO</v>
      </c>
    </row>
    <row r="73" spans="1:18" x14ac:dyDescent="0.25">
      <c r="B73" s="267" t="str">
        <f>Fluxo_de_Caixa_Janeiro[[#This Row],[Fluxo de Caixa 2026 CTR]]</f>
        <v xml:space="preserve">2.3.03.CSSL (SE ESTIVER NO CMV) </v>
      </c>
      <c r="C73" s="35"/>
      <c r="D73" s="62"/>
      <c r="E73" s="62"/>
      <c r="F73" s="62"/>
      <c r="G73" s="62"/>
      <c r="H73" s="62"/>
      <c r="I73" s="35">
        <f>Fluxo_de_Caixa_Janeiro3459117[[#This Row],[JULHO]]</f>
        <v>0</v>
      </c>
      <c r="J73" s="62">
        <f>Fluxo_de_Caixa_Janeiro345911710[[#This Row],[AGOSTO]]</f>
        <v>0</v>
      </c>
      <c r="K73" s="62">
        <f>Fluxo_de_Caixa_Janeiro34591171012[[#This Row],[SETEMBRO]]</f>
        <v>0</v>
      </c>
      <c r="L73" s="62"/>
      <c r="M73" s="62"/>
      <c r="N73" s="119"/>
      <c r="O73" s="219">
        <f>SUM(Fluxo_de_Caixa_Janeiro310201314[[#This Row],[Janeiro]:[Dezembro]])</f>
        <v>0</v>
      </c>
      <c r="P73" s="192" t="str">
        <f t="shared" si="5"/>
        <v>0,00%</v>
      </c>
      <c r="Q73" s="71"/>
      <c r="R73" s="32" t="str">
        <f>IF(Fluxo_de_Caixa_Janeiro310201314[[#This Row],[% ACUMULADO  3º SEMEST 2026]]&lt;=Fluxo_de_Caixa_Janeiro310201314[[#This Row],[Coluna1]],"VERDADEIRO","FALSO")</f>
        <v>FALSO</v>
      </c>
    </row>
    <row r="74" spans="1:18" x14ac:dyDescent="0.25">
      <c r="B74" s="267" t="str">
        <f>Fluxo_de_Caixa_Janeiro[[#This Row],[Fluxo de Caixa 2026 CTR]]</f>
        <v>2.3.04.COFINS (SE ESTIVER NO CMV)</v>
      </c>
      <c r="C74" s="35"/>
      <c r="D74" s="62"/>
      <c r="E74" s="62"/>
      <c r="F74" s="62"/>
      <c r="G74" s="62"/>
      <c r="H74" s="62"/>
      <c r="I74" s="35">
        <f>Fluxo_de_Caixa_Janeiro3459117[[#This Row],[JULHO]]</f>
        <v>0</v>
      </c>
      <c r="J74" s="62">
        <f>Fluxo_de_Caixa_Janeiro345911710[[#This Row],[AGOSTO]]</f>
        <v>0</v>
      </c>
      <c r="K74" s="62">
        <f>Fluxo_de_Caixa_Janeiro34591171012[[#This Row],[SETEMBRO]]</f>
        <v>0</v>
      </c>
      <c r="L74" s="62"/>
      <c r="M74" s="62"/>
      <c r="N74" s="119"/>
      <c r="O74" s="219">
        <f>SUM(Fluxo_de_Caixa_Janeiro310201314[[#This Row],[Janeiro]:[Dezembro]])</f>
        <v>0</v>
      </c>
      <c r="P74" s="192" t="str">
        <f t="shared" si="5"/>
        <v>0,00%</v>
      </c>
      <c r="Q74" s="71"/>
      <c r="R74" s="32" t="str">
        <f>IF(Fluxo_de_Caixa_Janeiro310201314[[#This Row],[% ACUMULADO  3º SEMEST 2026]]&lt;=Fluxo_de_Caixa_Janeiro310201314[[#This Row],[Coluna1]],"VERDADEIRO","FALSO")</f>
        <v>FALSO</v>
      </c>
    </row>
    <row r="75" spans="1:18" x14ac:dyDescent="0.25">
      <c r="B75" s="267" t="str">
        <f>Fluxo_de_Caixa_Janeiro[[#This Row],[Fluxo de Caixa 2026 CTR]]</f>
        <v>2.3.05.PIS (SE ESTIVER NO CMV)</v>
      </c>
      <c r="C75" s="35"/>
      <c r="D75" s="62"/>
      <c r="E75" s="62"/>
      <c r="F75" s="62"/>
      <c r="G75" s="62"/>
      <c r="H75" s="62"/>
      <c r="I75" s="35">
        <f>Fluxo_de_Caixa_Janeiro3459117[[#This Row],[JULHO]]</f>
        <v>0</v>
      </c>
      <c r="J75" s="62">
        <f>Fluxo_de_Caixa_Janeiro345911710[[#This Row],[AGOSTO]]</f>
        <v>0</v>
      </c>
      <c r="K75" s="62">
        <f>Fluxo_de_Caixa_Janeiro34591171012[[#This Row],[SETEMBRO]]</f>
        <v>0</v>
      </c>
      <c r="L75" s="62"/>
      <c r="M75" s="62"/>
      <c r="N75" s="119"/>
      <c r="O75" s="219">
        <f>SUM(Fluxo_de_Caixa_Janeiro310201314[[#This Row],[Janeiro]:[Dezembro]])</f>
        <v>0</v>
      </c>
      <c r="P75" s="192" t="str">
        <f t="shared" si="5"/>
        <v>0,00%</v>
      </c>
      <c r="Q75" s="71"/>
      <c r="R75" s="32" t="str">
        <f>IF(Fluxo_de_Caixa_Janeiro310201314[[#This Row],[% ACUMULADO  3º SEMEST 2026]]&lt;=Fluxo_de_Caixa_Janeiro310201314[[#This Row],[Coluna1]],"VERDADEIRO","FALSO")</f>
        <v>FALSO</v>
      </c>
    </row>
    <row r="76" spans="1:18" x14ac:dyDescent="0.25">
      <c r="B76" s="267" t="str">
        <f>Fluxo_de_Caixa_Janeiro[[#This Row],[Fluxo de Caixa 2026 CTR]]</f>
        <v>2.3.06.ICMS – Normal (SE ESTIVER NO CMV)</v>
      </c>
      <c r="C76" s="35"/>
      <c r="D76" s="62"/>
      <c r="E76" s="62"/>
      <c r="F76" s="62"/>
      <c r="G76" s="62"/>
      <c r="H76" s="62"/>
      <c r="I76" s="35">
        <f>Fluxo_de_Caixa_Janeiro3459117[[#This Row],[JULHO]]</f>
        <v>0</v>
      </c>
      <c r="J76" s="62">
        <f>Fluxo_de_Caixa_Janeiro345911710[[#This Row],[AGOSTO]]</f>
        <v>0</v>
      </c>
      <c r="K76" s="62">
        <f>Fluxo_de_Caixa_Janeiro34591171012[[#This Row],[SETEMBRO]]</f>
        <v>0</v>
      </c>
      <c r="L76" s="62"/>
      <c r="M76" s="62"/>
      <c r="N76" s="119"/>
      <c r="O76" s="219">
        <f>SUM(Fluxo_de_Caixa_Janeiro310201314[[#This Row],[Janeiro]:[Dezembro]])</f>
        <v>0</v>
      </c>
      <c r="P76" s="192" t="str">
        <f t="shared" si="5"/>
        <v>0,00%</v>
      </c>
      <c r="Q76" s="71"/>
      <c r="R76" s="32" t="str">
        <f>IF(Fluxo_de_Caixa_Janeiro310201314[[#This Row],[% ACUMULADO  3º SEMEST 2026]]&lt;=Fluxo_de_Caixa_Janeiro310201314[[#This Row],[Coluna1]],"VERDADEIRO","FALSO")</f>
        <v>FALSO</v>
      </c>
    </row>
    <row r="77" spans="1:18" hidden="1" x14ac:dyDescent="0.25">
      <c r="B77" s="267" t="str">
        <f>Fluxo_de_Caixa_Janeiro[[#This Row],[Fluxo de Caixa 2026 CTR]]</f>
        <v>2.3.07. SUBSTITUIÇÃO TRIBUTARIA SAÍDA (TARE)</v>
      </c>
      <c r="C77" s="35"/>
      <c r="D77" s="62"/>
      <c r="E77" s="62"/>
      <c r="F77" s="62"/>
      <c r="G77" s="62"/>
      <c r="H77" s="62"/>
      <c r="I77" s="35">
        <f>Fluxo_de_Caixa_Janeiro3459117[[#This Row],[JULHO]]</f>
        <v>0</v>
      </c>
      <c r="J77" s="62">
        <f>Fluxo_de_Caixa_Janeiro345911710[[#This Row],[AGOSTO]]</f>
        <v>0</v>
      </c>
      <c r="K77" s="62">
        <f>Fluxo_de_Caixa_Janeiro34591171012[[#This Row],[SETEMBRO]]</f>
        <v>0</v>
      </c>
      <c r="L77" s="62"/>
      <c r="M77" s="62"/>
      <c r="N77" s="119"/>
      <c r="O77" s="219">
        <f>SUM(Fluxo_de_Caixa_Janeiro310201314[[#This Row],[Janeiro]:[Dezembro]])</f>
        <v>0</v>
      </c>
      <c r="P77" s="192" t="str">
        <f t="shared" si="5"/>
        <v>0,00%</v>
      </c>
      <c r="Q77" s="71"/>
      <c r="R77" s="32" t="str">
        <f>IF(Fluxo_de_Caixa_Janeiro310201314[[#This Row],[% ACUMULADO  3º SEMEST 2026]]&lt;=Fluxo_de_Caixa_Janeiro310201314[[#This Row],[Coluna1]],"VERDADEIRO","FALSO")</f>
        <v>FALSO</v>
      </c>
    </row>
    <row r="78" spans="1:18" x14ac:dyDescent="0.25">
      <c r="B78" s="268" t="str">
        <f>Fluxo_de_Caixa_Janeiro[[#This Row],[Fluxo de Caixa 2026 CTR]]</f>
        <v>2.3.08.SUBSTITUIÇÃO TRIBUTÁRIA NA ENTRADA</v>
      </c>
      <c r="C78" s="35"/>
      <c r="D78" s="62"/>
      <c r="E78" s="62"/>
      <c r="F78" s="62"/>
      <c r="G78" s="62"/>
      <c r="H78" s="62"/>
      <c r="I78" s="35">
        <f>Fluxo_de_Caixa_Janeiro3459117[[#This Row],[JULHO]]</f>
        <v>0</v>
      </c>
      <c r="J78" s="62">
        <f>Fluxo_de_Caixa_Janeiro345911710[[#This Row],[AGOSTO]]</f>
        <v>0</v>
      </c>
      <c r="K78" s="62">
        <f>Fluxo_de_Caixa_Janeiro34591171012[[#This Row],[SETEMBRO]]</f>
        <v>0</v>
      </c>
      <c r="L78" s="62"/>
      <c r="M78" s="62"/>
      <c r="N78" s="119"/>
      <c r="O78" s="219">
        <f>SUM(Fluxo_de_Caixa_Janeiro310201314[[#This Row],[Janeiro]:[Dezembro]])</f>
        <v>0</v>
      </c>
      <c r="P78" s="192" t="str">
        <f t="shared" si="5"/>
        <v>0,00%</v>
      </c>
      <c r="Q78" s="71"/>
      <c r="R78" s="32" t="str">
        <f>IF(Fluxo_de_Caixa_Janeiro310201314[[#This Row],[% ACUMULADO  3º SEMEST 2026]]&lt;=Fluxo_de_Caixa_Janeiro310201314[[#This Row],[Coluna1]],"VERDADEIRO","FALSO")</f>
        <v>FALSO</v>
      </c>
    </row>
    <row r="79" spans="1:18" hidden="1" x14ac:dyDescent="0.25">
      <c r="B79" s="268" t="str">
        <f>Fluxo_de_Caixa_Janeiro[[#This Row],[Fluxo de Caixa 2026 CTR]]</f>
        <v>2.3.09.FUNDO DESENVOLVIMENTO ECONOMICO (TARE)</v>
      </c>
      <c r="C79" s="35"/>
      <c r="D79" s="62"/>
      <c r="E79" s="62"/>
      <c r="F79" s="62"/>
      <c r="G79" s="62"/>
      <c r="H79" s="62"/>
      <c r="I79" s="35">
        <f>Fluxo_de_Caixa_Janeiro3459117[[#This Row],[JULHO]]</f>
        <v>0</v>
      </c>
      <c r="J79" s="62">
        <f>Fluxo_de_Caixa_Janeiro345911710[[#This Row],[AGOSTO]]</f>
        <v>0</v>
      </c>
      <c r="K79" s="62">
        <f>Fluxo_de_Caixa_Janeiro34591171012[[#This Row],[SETEMBRO]]</f>
        <v>0</v>
      </c>
      <c r="L79" s="62"/>
      <c r="M79" s="62"/>
      <c r="N79" s="119"/>
      <c r="O79" s="219">
        <f>SUM(Fluxo_de_Caixa_Janeiro310201314[[#This Row],[Janeiro]:[Dezembro]])</f>
        <v>0</v>
      </c>
      <c r="P79" s="192" t="str">
        <f t="shared" si="5"/>
        <v>0,00%</v>
      </c>
      <c r="Q79" s="71"/>
      <c r="R79" s="32" t="str">
        <f>IF(Fluxo_de_Caixa_Janeiro310201314[[#This Row],[% ACUMULADO  3º SEMEST 2026]]&lt;=Fluxo_de_Caixa_Janeiro310201314[[#This Row],[Coluna1]],"VERDADEIRO","FALSO")</f>
        <v>FALSO</v>
      </c>
    </row>
    <row r="80" spans="1:18" hidden="1" x14ac:dyDescent="0.25">
      <c r="B80" s="268">
        <f>Fluxo_de_Caixa_Janeiro[[#This Row],[Fluxo de Caixa 2026 CTR]]</f>
        <v>0</v>
      </c>
      <c r="C80" s="35"/>
      <c r="D80" s="62"/>
      <c r="E80" s="62"/>
      <c r="F80" s="62"/>
      <c r="G80" s="62"/>
      <c r="H80" s="62"/>
      <c r="I80" s="35">
        <f>Fluxo_de_Caixa_Janeiro3459117[[#This Row],[JULHO]]</f>
        <v>0</v>
      </c>
      <c r="J80" s="62">
        <f>Fluxo_de_Caixa_Janeiro345911710[[#This Row],[AGOSTO]]</f>
        <v>0</v>
      </c>
      <c r="K80" s="62">
        <f>Fluxo_de_Caixa_Janeiro34591171012[[#This Row],[SETEMBRO]]</f>
        <v>0</v>
      </c>
      <c r="L80" s="62"/>
      <c r="M80" s="62"/>
      <c r="N80" s="119"/>
      <c r="O80" s="219">
        <f>SUM(Fluxo_de_Caixa_Janeiro310201314[[#This Row],[Janeiro]:[Dezembro]])</f>
        <v>0</v>
      </c>
      <c r="P80" s="192" t="str">
        <f t="shared" si="5"/>
        <v>0,00%</v>
      </c>
      <c r="Q80" s="71"/>
      <c r="R80" s="32" t="str">
        <f>IF(Fluxo_de_Caixa_Janeiro310201314[[#This Row],[% ACUMULADO  3º SEMEST 2026]]&lt;=Fluxo_de_Caixa_Janeiro310201314[[#This Row],[Coluna1]],"VERDADEIRO","FALSO")</f>
        <v>FALSO</v>
      </c>
    </row>
    <row r="81" spans="1:18" hidden="1" x14ac:dyDescent="0.25">
      <c r="B81" s="268">
        <f>Fluxo_de_Caixa_Janeiro[[#This Row],[Fluxo de Caixa 2026 CTR]]</f>
        <v>0</v>
      </c>
      <c r="C81" s="35"/>
      <c r="D81" s="62"/>
      <c r="E81" s="62"/>
      <c r="F81" s="62"/>
      <c r="G81" s="62"/>
      <c r="H81" s="62"/>
      <c r="I81" s="35">
        <f>Fluxo_de_Caixa_Janeiro3459117[[#This Row],[JULHO]]</f>
        <v>0</v>
      </c>
      <c r="J81" s="62">
        <f>Fluxo_de_Caixa_Janeiro345911710[[#This Row],[AGOSTO]]</f>
        <v>0</v>
      </c>
      <c r="K81" s="62">
        <f>Fluxo_de_Caixa_Janeiro34591171012[[#This Row],[SETEMBRO]]</f>
        <v>0</v>
      </c>
      <c r="L81" s="62"/>
      <c r="M81" s="62"/>
      <c r="N81" s="119"/>
      <c r="O81" s="219">
        <f>SUM(Fluxo_de_Caixa_Janeiro310201314[[#This Row],[Janeiro]:[Dezembro]])</f>
        <v>0</v>
      </c>
      <c r="P81" s="192" t="str">
        <f t="shared" si="5"/>
        <v>0,00%</v>
      </c>
      <c r="Q81" s="71"/>
      <c r="R81" s="32" t="str">
        <f>IF(Fluxo_de_Caixa_Janeiro310201314[[#This Row],[% ACUMULADO  3º SEMEST 2026]]&lt;=Fluxo_de_Caixa_Janeiro310201314[[#This Row],[Coluna1]],"VERDADEIRO","FALSO")</f>
        <v>FALSO</v>
      </c>
    </row>
    <row r="82" spans="1:18" ht="15.75" thickBot="1" x14ac:dyDescent="0.3">
      <c r="B82" s="268" t="str">
        <f>Fluxo_de_Caixa_Janeiro[[#This Row],[Fluxo de Caixa 2026 CTR]]</f>
        <v xml:space="preserve">2.3.11. Impostos Parcelado </v>
      </c>
      <c r="C82" s="35"/>
      <c r="D82" s="62"/>
      <c r="E82" s="62"/>
      <c r="F82" s="62"/>
      <c r="G82" s="62"/>
      <c r="H82" s="62"/>
      <c r="I82" s="35">
        <f>Fluxo_de_Caixa_Janeiro3459117[[#This Row],[JULHO]]</f>
        <v>0</v>
      </c>
      <c r="J82" s="62">
        <f>Fluxo_de_Caixa_Janeiro345911710[[#This Row],[AGOSTO]]</f>
        <v>0</v>
      </c>
      <c r="K82" s="62">
        <f>Fluxo_de_Caixa_Janeiro34591171012[[#This Row],[SETEMBRO]]</f>
        <v>0</v>
      </c>
      <c r="L82" s="62"/>
      <c r="M82" s="62"/>
      <c r="N82" s="119"/>
      <c r="O82" s="219">
        <f>SUM(Fluxo_de_Caixa_Janeiro310201314[[#This Row],[Janeiro]:[Dezembro]])</f>
        <v>0</v>
      </c>
      <c r="P82" s="192" t="str">
        <f t="shared" si="5"/>
        <v>0,00%</v>
      </c>
      <c r="Q82" s="71"/>
      <c r="R82" s="32" t="str">
        <f>IF(Fluxo_de_Caixa_Janeiro310201314[[#This Row],[% ACUMULADO  3º SEMEST 2026]]&lt;=Fluxo_de_Caixa_Janeiro310201314[[#This Row],[Coluna1]],"VERDADEIRO","FALSO")</f>
        <v>FALSO</v>
      </c>
    </row>
    <row r="83" spans="1:18" ht="15.75" hidden="1" thickBot="1" x14ac:dyDescent="0.3">
      <c r="B83" s="268">
        <f>Fluxo_de_Caixa_Janeiro[[#This Row],[Fluxo de Caixa 2026 CTR]]</f>
        <v>0</v>
      </c>
      <c r="C83" s="35"/>
      <c r="D83" s="62"/>
      <c r="E83" s="62"/>
      <c r="F83" s="62"/>
      <c r="G83" s="62"/>
      <c r="H83" s="62"/>
      <c r="I83" s="35">
        <f>Fluxo_de_Caixa_Janeiro3459117[[#This Row],[JULHO]]</f>
        <v>0</v>
      </c>
      <c r="J83" s="62">
        <f>Fluxo_de_Caixa_Janeiro345911710[[#This Row],[AGOSTO]]</f>
        <v>0</v>
      </c>
      <c r="K83" s="62">
        <f>Fluxo_de_Caixa_Janeiro34591171012[[#This Row],[SETEMBRO]]</f>
        <v>0</v>
      </c>
      <c r="L83" s="62"/>
      <c r="M83" s="62"/>
      <c r="N83" s="119"/>
      <c r="O83" s="219">
        <f>SUM(Fluxo_de_Caixa_Janeiro310201314[[#This Row],[Janeiro]:[Dezembro]])</f>
        <v>0</v>
      </c>
      <c r="P83" s="192" t="str">
        <f t="shared" si="5"/>
        <v>0,00%</v>
      </c>
      <c r="Q83" s="71"/>
      <c r="R83" s="32" t="str">
        <f>IF(Fluxo_de_Caixa_Janeiro310201314[[#This Row],[% ACUMULADO  3º SEMEST 2026]]&lt;=Fluxo_de_Caixa_Janeiro310201314[[#This Row],[Coluna1]],"VERDADEIRO","FALSO")</f>
        <v>FALSO</v>
      </c>
    </row>
    <row r="84" spans="1:18" ht="15.75" hidden="1" thickBot="1" x14ac:dyDescent="0.3">
      <c r="B84" s="268">
        <f>Fluxo_de_Caixa_Janeiro[[#This Row],[Fluxo de Caixa 2026 CTR]]</f>
        <v>0</v>
      </c>
      <c r="C84" s="36"/>
      <c r="D84" s="82"/>
      <c r="E84" s="82"/>
      <c r="F84" s="82"/>
      <c r="G84" s="82"/>
      <c r="H84" s="82"/>
      <c r="I84" s="36">
        <f>Fluxo_de_Caixa_Janeiro3459117[[#This Row],[JULHO]]</f>
        <v>0</v>
      </c>
      <c r="J84" s="82">
        <f>Fluxo_de_Caixa_Janeiro345911710[[#This Row],[AGOSTO]]</f>
        <v>0</v>
      </c>
      <c r="K84" s="82">
        <f>Fluxo_de_Caixa_Janeiro34591171012[[#This Row],[SETEMBRO]]</f>
        <v>0</v>
      </c>
      <c r="L84" s="82"/>
      <c r="M84" s="82"/>
      <c r="N84" s="120"/>
      <c r="O84" s="220">
        <f>SUM(Fluxo_de_Caixa_Janeiro310201314[[#This Row],[Janeiro]:[Dezembro]])</f>
        <v>0</v>
      </c>
      <c r="P84" s="192" t="str">
        <f t="shared" si="5"/>
        <v>0,00%</v>
      </c>
      <c r="Q84" s="89"/>
      <c r="R84" s="32" t="str">
        <f>IF(Fluxo_de_Caixa_Janeiro310201314[[#This Row],[% ACUMULADO  3º SEMEST 2026]]&lt;=Fluxo_de_Caixa_Janeiro310201314[[#This Row],[Coluna1]],"VERDADEIRO","FALSO")</f>
        <v>FALSO</v>
      </c>
    </row>
    <row r="85" spans="1:18" ht="24" thickBot="1" x14ac:dyDescent="0.4">
      <c r="B85" s="54" t="str">
        <f>Fluxo_de_Caixa_Janeiro[[#This Row],[Fluxo de Caixa 2026 CTR]]</f>
        <v xml:space="preserve">Total dos Custos </v>
      </c>
      <c r="C85" s="43"/>
      <c r="D85" s="91"/>
      <c r="E85" s="91"/>
      <c r="F85" s="91"/>
      <c r="G85" s="91"/>
      <c r="H85" s="91"/>
      <c r="I85" s="43">
        <f>Fluxo_de_Caixa_Janeiro3459117[[#This Row],[JULHO]]</f>
        <v>0</v>
      </c>
      <c r="J85" s="91">
        <f>Fluxo_de_Caixa_Janeiro345911710[[#This Row],[AGOSTO]]</f>
        <v>0</v>
      </c>
      <c r="K85" s="91">
        <f>Fluxo_de_Caixa_Janeiro34591171012[[#This Row],[SETEMBRO]]</f>
        <v>0</v>
      </c>
      <c r="L85" s="91"/>
      <c r="M85" s="91"/>
      <c r="N85" s="127"/>
      <c r="O85" s="217">
        <f>SUM(Fluxo_de_Caixa_Janeiro310201314[[#This Row],[Janeiro]:[Dezembro]])</f>
        <v>0</v>
      </c>
      <c r="P85" s="199" t="str">
        <f>IFERROR(O85/O27,"0,00%")</f>
        <v>0,00%</v>
      </c>
      <c r="Q85" s="74"/>
      <c r="R85" s="32" t="str">
        <f>IF(Fluxo_de_Caixa_Janeiro310201314[[#This Row],[% ACUMULADO  3º SEMEST 2026]]&gt;=Fluxo_de_Caixa_Janeiro310201314[[#This Row],[Coluna1]],"VERDADEIRO","FALSO")</f>
        <v>VERDADEIRO</v>
      </c>
    </row>
    <row r="86" spans="1:18" ht="24" thickBot="1" x14ac:dyDescent="0.4">
      <c r="B86" s="273" t="str">
        <f>Fluxo_de_Caixa_Janeiro[[#This Row],[Fluxo de Caixa 2026 CTR]]</f>
        <v>Receita Operacional Bruta</v>
      </c>
      <c r="C86" s="200"/>
      <c r="D86" s="201"/>
      <c r="E86" s="201"/>
      <c r="F86" s="201"/>
      <c r="G86" s="201"/>
      <c r="H86" s="201"/>
      <c r="I86" s="200">
        <f>Fluxo_de_Caixa_Janeiro3459117[[#This Row],[JULHO]]</f>
        <v>0</v>
      </c>
      <c r="J86" s="201">
        <f>Fluxo_de_Caixa_Janeiro345911710[[#This Row],[AGOSTO]]</f>
        <v>0</v>
      </c>
      <c r="K86" s="201">
        <f>Fluxo_de_Caixa_Janeiro34591171012[[#This Row],[SETEMBRO]]</f>
        <v>0</v>
      </c>
      <c r="L86" s="201"/>
      <c r="M86" s="201"/>
      <c r="N86" s="202"/>
      <c r="O86" s="289">
        <f>SUM(Fluxo_de_Caixa_Janeiro310201314[[#This Row],[Janeiro]:[Dezembro]])</f>
        <v>0</v>
      </c>
      <c r="P86" s="203" t="str">
        <f>IFERROR(O86/O27,"0,00%")</f>
        <v>0,00%</v>
      </c>
      <c r="Q86" s="92"/>
      <c r="R86" s="32" t="str">
        <f>IF(Fluxo_de_Caixa_Janeiro310201314[[#This Row],[% ACUMULADO  3º SEMEST 2026]]&gt;=Fluxo_de_Caixa_Janeiro310201314[[#This Row],[Coluna1]],"VERDADEIRO","FALSO")</f>
        <v>VERDADEIRO</v>
      </c>
    </row>
    <row r="87" spans="1:18" ht="24" thickBot="1" x14ac:dyDescent="0.4">
      <c r="B87" s="274" t="str">
        <f>Fluxo_de_Caixa_Janeiro[[#This Row],[Fluxo de Caixa 2026 CTR]]</f>
        <v xml:space="preserve">300. Despesas Operac. Fixas e Variáveis </v>
      </c>
      <c r="C87" s="204"/>
      <c r="D87" s="249"/>
      <c r="E87" s="249"/>
      <c r="F87" s="249"/>
      <c r="G87" s="249"/>
      <c r="H87" s="403"/>
      <c r="I87" s="249">
        <f>Fluxo_de_Caixa_Janeiro3459117[[#This Row],[JULHO]]</f>
        <v>0</v>
      </c>
      <c r="J87" s="249">
        <f>Fluxo_de_Caixa_Janeiro345911710[[#This Row],[AGOSTO]]</f>
        <v>0</v>
      </c>
      <c r="K87" s="249">
        <f>Fluxo_de_Caixa_Janeiro34591171012[[#This Row],[SETEMBRO]]</f>
        <v>0</v>
      </c>
      <c r="L87" s="249"/>
      <c r="M87" s="249"/>
      <c r="N87" s="249"/>
      <c r="O87" s="221"/>
      <c r="P87" s="205"/>
      <c r="Q87" s="23"/>
      <c r="R87" s="32" t="str">
        <f>IF(Fluxo_de_Caixa_Janeiro310201314[[#This Row],[% ACUMULADO  3º SEMEST 2026]]&lt;=Fluxo_de_Caixa_Janeiro310201314[[#This Row],[Coluna1]],"VERDADEIRO","FALSO")</f>
        <v>VERDADEIRO</v>
      </c>
    </row>
    <row r="88" spans="1:18" ht="19.5" thickBot="1" x14ac:dyDescent="0.35">
      <c r="A88" s="14" t="s">
        <v>2</v>
      </c>
      <c r="B88" s="275" t="str">
        <f>Fluxo_de_Caixa_Janeiro[[#This Row],[Fluxo de Caixa 2026 CTR]]</f>
        <v xml:space="preserve">3.1. DESPESA COM VENDAS   </v>
      </c>
      <c r="C88" s="157"/>
      <c r="D88" s="94"/>
      <c r="E88" s="94"/>
      <c r="F88" s="94"/>
      <c r="G88" s="94"/>
      <c r="H88" s="94"/>
      <c r="I88" s="157">
        <f>Fluxo_de_Caixa_Janeiro3459117[[#This Row],[JULHO]]</f>
        <v>0</v>
      </c>
      <c r="J88" s="94">
        <f>Fluxo_de_Caixa_Janeiro345911710[[#This Row],[AGOSTO]]</f>
        <v>0</v>
      </c>
      <c r="K88" s="94">
        <f>Fluxo_de_Caixa_Janeiro34591171012[[#This Row],[SETEMBRO]]</f>
        <v>0</v>
      </c>
      <c r="L88" s="94"/>
      <c r="M88" s="94"/>
      <c r="N88" s="128"/>
      <c r="O88" s="222">
        <f>SUM(Fluxo_de_Caixa_Janeiro310201314[[#This Row],[Janeiro]:[Dezembro]])</f>
        <v>0</v>
      </c>
      <c r="P88" s="143">
        <f>-IFERROR(O88/$O$27,"0,00")</f>
        <v>0</v>
      </c>
      <c r="Q88" s="95"/>
      <c r="R88" s="32" t="str">
        <f>IF(Fluxo_de_Caixa_Janeiro310201314[[#This Row],[% ACUMULADO  3º SEMEST 2026]]&lt;=Fluxo_de_Caixa_Janeiro310201314[[#This Row],[Coluna1]],"VERDADEIRO","FALSO")</f>
        <v>VERDADEIRO</v>
      </c>
    </row>
    <row r="89" spans="1:18" x14ac:dyDescent="0.25">
      <c r="B89" s="169" t="str">
        <f>Fluxo_de_Caixa_Janeiro[[#This Row],[Fluxo de Caixa 2026 CTR]]</f>
        <v xml:space="preserve">3.1.01. Marketing e Propaganda </v>
      </c>
      <c r="C89" s="41"/>
      <c r="D89" s="81"/>
      <c r="E89" s="81"/>
      <c r="F89" s="81"/>
      <c r="G89" s="81"/>
      <c r="H89" s="81"/>
      <c r="I89" s="41">
        <f>Fluxo_de_Caixa_Janeiro3459117[[#This Row],[JULHO]]</f>
        <v>0</v>
      </c>
      <c r="J89" s="81">
        <f>Fluxo_de_Caixa_Janeiro345911710[[#This Row],[AGOSTO]]</f>
        <v>0</v>
      </c>
      <c r="K89" s="81">
        <f>Fluxo_de_Caixa_Janeiro34591171012[[#This Row],[SETEMBRO]]</f>
        <v>0</v>
      </c>
      <c r="L89" s="81"/>
      <c r="M89" s="81"/>
      <c r="N89" s="118"/>
      <c r="O89" s="223">
        <f>SUM(Fluxo_de_Caixa_Janeiro310201314[[#This Row],[Janeiro]:[Dezembro]])</f>
        <v>0</v>
      </c>
      <c r="P89" s="193" t="str">
        <f t="shared" ref="P89:P99" si="6">IFERROR(O89/$O$27,"0,00%")</f>
        <v>0,00%</v>
      </c>
      <c r="Q89" s="93"/>
      <c r="R89" s="32" t="str">
        <f>IF(Fluxo_de_Caixa_Janeiro310201314[[#This Row],[% ACUMULADO  3º SEMEST 2026]]&lt;=Fluxo_de_Caixa_Janeiro310201314[[#This Row],[Coluna1]],"VERDADEIRO","FALSO")</f>
        <v>FALSO</v>
      </c>
    </row>
    <row r="90" spans="1:18" x14ac:dyDescent="0.25">
      <c r="B90" s="55" t="str">
        <f>Fluxo_de_Caixa_Janeiro[[#This Row],[Fluxo de Caixa 2026 CTR]]</f>
        <v>3.1.02. Promoções e Eventos(Brindes/Café da Manhã p clientes/etc)</v>
      </c>
      <c r="C90" s="35"/>
      <c r="D90" s="62"/>
      <c r="E90" s="62"/>
      <c r="F90" s="62"/>
      <c r="G90" s="62"/>
      <c r="H90" s="62"/>
      <c r="I90" s="35">
        <f>Fluxo_de_Caixa_Janeiro3459117[[#This Row],[JULHO]]</f>
        <v>0</v>
      </c>
      <c r="J90" s="62">
        <f>Fluxo_de_Caixa_Janeiro345911710[[#This Row],[AGOSTO]]</f>
        <v>0</v>
      </c>
      <c r="K90" s="62">
        <f>Fluxo_de_Caixa_Janeiro34591171012[[#This Row],[SETEMBRO]]</f>
        <v>0</v>
      </c>
      <c r="L90" s="62"/>
      <c r="M90" s="62"/>
      <c r="N90" s="119"/>
      <c r="O90" s="224">
        <f>SUM(Fluxo_de_Caixa_Janeiro310201314[[#This Row],[Janeiro]:[Dezembro]])</f>
        <v>0</v>
      </c>
      <c r="P90" s="194" t="str">
        <f t="shared" si="6"/>
        <v>0,00%</v>
      </c>
      <c r="Q90" s="75"/>
      <c r="R90" s="32" t="str">
        <f>IF(Fluxo_de_Caixa_Janeiro310201314[[#This Row],[% ACUMULADO  3º SEMEST 2026]]&lt;=Fluxo_de_Caixa_Janeiro310201314[[#This Row],[Coluna1]],"VERDADEIRO","FALSO")</f>
        <v>FALSO</v>
      </c>
    </row>
    <row r="91" spans="1:18" x14ac:dyDescent="0.25">
      <c r="B91" s="55" t="str">
        <f>Fluxo_de_Caixa_Janeiro[[#This Row],[Fluxo de Caixa 2026 CTR]]</f>
        <v>3.1.03. Sacolas e Embalagens</v>
      </c>
      <c r="C91" s="35"/>
      <c r="D91" s="62"/>
      <c r="E91" s="62"/>
      <c r="F91" s="62"/>
      <c r="G91" s="62"/>
      <c r="H91" s="62"/>
      <c r="I91" s="35">
        <f>Fluxo_de_Caixa_Janeiro3459117[[#This Row],[JULHO]]</f>
        <v>0</v>
      </c>
      <c r="J91" s="62">
        <f>Fluxo_de_Caixa_Janeiro345911710[[#This Row],[AGOSTO]]</f>
        <v>0</v>
      </c>
      <c r="K91" s="62">
        <f>Fluxo_de_Caixa_Janeiro34591171012[[#This Row],[SETEMBRO]]</f>
        <v>0</v>
      </c>
      <c r="L91" s="62"/>
      <c r="M91" s="62"/>
      <c r="N91" s="119"/>
      <c r="O91" s="224">
        <f>SUM(Fluxo_de_Caixa_Janeiro310201314[[#This Row],[Janeiro]:[Dezembro]])</f>
        <v>0</v>
      </c>
      <c r="P91" s="194" t="str">
        <f t="shared" si="6"/>
        <v>0,00%</v>
      </c>
      <c r="Q91" s="75"/>
      <c r="R91" s="32" t="str">
        <f>IF(Fluxo_de_Caixa_Janeiro310201314[[#This Row],[% ACUMULADO  3º SEMEST 2026]]&lt;=Fluxo_de_Caixa_Janeiro310201314[[#This Row],[Coluna1]],"VERDADEIRO","FALSO")</f>
        <v>FALSO</v>
      </c>
    </row>
    <row r="92" spans="1:18" x14ac:dyDescent="0.25">
      <c r="B92" s="55" t="str">
        <f>Fluxo_de_Caixa_Janeiro[[#This Row],[Fluxo de Caixa 2026 CTR]]</f>
        <v>3.1.04.DIARIAS E DESPESAS COM VENDEDOR (passagem ônibus, hotel. Etc)</v>
      </c>
      <c r="C92" s="35"/>
      <c r="D92" s="62"/>
      <c r="E92" s="62"/>
      <c r="F92" s="62"/>
      <c r="G92" s="62"/>
      <c r="H92" s="62"/>
      <c r="I92" s="35">
        <f>Fluxo_de_Caixa_Janeiro3459117[[#This Row],[JULHO]]</f>
        <v>0</v>
      </c>
      <c r="J92" s="62">
        <f>Fluxo_de_Caixa_Janeiro345911710[[#This Row],[AGOSTO]]</f>
        <v>0</v>
      </c>
      <c r="K92" s="62">
        <f>Fluxo_de_Caixa_Janeiro34591171012[[#This Row],[SETEMBRO]]</f>
        <v>0</v>
      </c>
      <c r="L92" s="62"/>
      <c r="M92" s="62"/>
      <c r="N92" s="119"/>
      <c r="O92" s="224">
        <f>SUM(Fluxo_de_Caixa_Janeiro310201314[[#This Row],[Janeiro]:[Dezembro]])</f>
        <v>0</v>
      </c>
      <c r="P92" s="194" t="str">
        <f t="shared" si="6"/>
        <v>0,00%</v>
      </c>
      <c r="Q92" s="75"/>
      <c r="R92" s="32" t="str">
        <f>IF(Fluxo_de_Caixa_Janeiro310201314[[#This Row],[% ACUMULADO  3º SEMEST 2026]]&lt;=Fluxo_de_Caixa_Janeiro310201314[[#This Row],[Coluna1]],"VERDADEIRO","FALSO")</f>
        <v>FALSO</v>
      </c>
    </row>
    <row r="93" spans="1:18" x14ac:dyDescent="0.25">
      <c r="B93" s="55" t="str">
        <f>Fluxo_de_Caixa_Janeiro[[#This Row],[Fluxo de Caixa 2026 CTR]]</f>
        <v>3.1.05. Comissão Representente Comercial</v>
      </c>
      <c r="C93" s="35"/>
      <c r="D93" s="62"/>
      <c r="E93" s="62"/>
      <c r="F93" s="62"/>
      <c r="G93" s="62"/>
      <c r="H93" s="62"/>
      <c r="I93" s="35">
        <f>Fluxo_de_Caixa_Janeiro3459117[[#This Row],[JULHO]]</f>
        <v>0</v>
      </c>
      <c r="J93" s="62">
        <f>Fluxo_de_Caixa_Janeiro345911710[[#This Row],[AGOSTO]]</f>
        <v>0</v>
      </c>
      <c r="K93" s="62">
        <f>Fluxo_de_Caixa_Janeiro34591171012[[#This Row],[SETEMBRO]]</f>
        <v>0</v>
      </c>
      <c r="L93" s="62"/>
      <c r="M93" s="62"/>
      <c r="N93" s="119"/>
      <c r="O93" s="224">
        <f>SUM(Fluxo_de_Caixa_Janeiro310201314[[#This Row],[Janeiro]:[Dezembro]])</f>
        <v>0</v>
      </c>
      <c r="P93" s="194" t="str">
        <f t="shared" si="6"/>
        <v>0,00%</v>
      </c>
      <c r="Q93" s="75"/>
      <c r="R93" s="32" t="str">
        <f>IF(Fluxo_de_Caixa_Janeiro310201314[[#This Row],[% ACUMULADO  3º SEMEST 2026]]&lt;=Fluxo_de_Caixa_Janeiro310201314[[#This Row],[Coluna1]],"VERDADEIRO","FALSO")</f>
        <v>FALSO</v>
      </c>
    </row>
    <row r="94" spans="1:18" x14ac:dyDescent="0.25">
      <c r="B94" s="55" t="str">
        <f>Fluxo_de_Caixa_Janeiro[[#This Row],[Fluxo de Caixa 2026 CTR]]</f>
        <v>3.1.06. Frete com entrega de vendas</v>
      </c>
      <c r="C94" s="35"/>
      <c r="D94" s="62"/>
      <c r="E94" s="62"/>
      <c r="F94" s="62"/>
      <c r="G94" s="62"/>
      <c r="H94" s="62"/>
      <c r="I94" s="35">
        <f>Fluxo_de_Caixa_Janeiro3459117[[#This Row],[JULHO]]</f>
        <v>0</v>
      </c>
      <c r="J94" s="62">
        <f>Fluxo_de_Caixa_Janeiro345911710[[#This Row],[AGOSTO]]</f>
        <v>0</v>
      </c>
      <c r="K94" s="62">
        <f>Fluxo_de_Caixa_Janeiro34591171012[[#This Row],[SETEMBRO]]</f>
        <v>0</v>
      </c>
      <c r="L94" s="62"/>
      <c r="M94" s="62"/>
      <c r="N94" s="119"/>
      <c r="O94" s="224">
        <f>SUM(Fluxo_de_Caixa_Janeiro310201314[[#This Row],[Janeiro]:[Dezembro]])</f>
        <v>0</v>
      </c>
      <c r="P94" s="194" t="str">
        <f t="shared" si="6"/>
        <v>0,00%</v>
      </c>
      <c r="Q94" s="75"/>
      <c r="R94" s="32" t="str">
        <f>IF(Fluxo_de_Caixa_Janeiro310201314[[#This Row],[% ACUMULADO  3º SEMEST 2026]]&lt;=Fluxo_de_Caixa_Janeiro310201314[[#This Row],[Coluna1]],"VERDADEIRO","FALSO")</f>
        <v>FALSO</v>
      </c>
    </row>
    <row r="95" spans="1:18" x14ac:dyDescent="0.25">
      <c r="B95" s="55" t="str">
        <f>Fluxo_de_Caixa_Janeiro[[#This Row],[Fluxo de Caixa 2026 CTR]]</f>
        <v>3.1.07. TAXAS C/ CART CRÉD/DÉBIT</v>
      </c>
      <c r="C95" s="35"/>
      <c r="D95" s="62"/>
      <c r="E95" s="62"/>
      <c r="F95" s="62"/>
      <c r="G95" s="62"/>
      <c r="H95" s="62"/>
      <c r="I95" s="35">
        <f>Fluxo_de_Caixa_Janeiro3459117[[#This Row],[JULHO]]</f>
        <v>0</v>
      </c>
      <c r="J95" s="62">
        <f>Fluxo_de_Caixa_Janeiro345911710[[#This Row],[AGOSTO]]</f>
        <v>0</v>
      </c>
      <c r="K95" s="62">
        <f>Fluxo_de_Caixa_Janeiro34591171012[[#This Row],[SETEMBRO]]</f>
        <v>0</v>
      </c>
      <c r="L95" s="62"/>
      <c r="M95" s="62"/>
      <c r="N95" s="119"/>
      <c r="O95" s="224">
        <f>SUM(Fluxo_de_Caixa_Janeiro310201314[[#This Row],[Janeiro]:[Dezembro]])</f>
        <v>0</v>
      </c>
      <c r="P95" s="194" t="str">
        <f t="shared" si="6"/>
        <v>0,00%</v>
      </c>
      <c r="Q95" s="75"/>
      <c r="R95" s="32" t="str">
        <f>IF(Fluxo_de_Caixa_Janeiro310201314[[#This Row],[% ACUMULADO  3º SEMEST 2026]]&lt;=Fluxo_de_Caixa_Janeiro310201314[[#This Row],[Coluna1]],"VERDADEIRO","FALSO")</f>
        <v>FALSO</v>
      </c>
    </row>
    <row r="96" spans="1:18" x14ac:dyDescent="0.25">
      <c r="B96" s="55" t="str">
        <f>Fluxo_de_Caixa_Janeiro[[#This Row],[Fluxo de Caixa 2026 CTR]]</f>
        <v>3.1.08. Serviço Motoboy Entrega Vendas</v>
      </c>
      <c r="C96" s="35"/>
      <c r="D96" s="62"/>
      <c r="E96" s="62"/>
      <c r="F96" s="62"/>
      <c r="G96" s="62"/>
      <c r="H96" s="62"/>
      <c r="I96" s="35">
        <f>Fluxo_de_Caixa_Janeiro3459117[[#This Row],[JULHO]]</f>
        <v>0</v>
      </c>
      <c r="J96" s="62">
        <f>Fluxo_de_Caixa_Janeiro345911710[[#This Row],[AGOSTO]]</f>
        <v>0</v>
      </c>
      <c r="K96" s="62">
        <f>Fluxo_de_Caixa_Janeiro34591171012[[#This Row],[SETEMBRO]]</f>
        <v>0</v>
      </c>
      <c r="L96" s="62"/>
      <c r="M96" s="62"/>
      <c r="N96" s="119"/>
      <c r="O96" s="224">
        <f>SUM(Fluxo_de_Caixa_Janeiro310201314[[#This Row],[Janeiro]:[Dezembro]])</f>
        <v>0</v>
      </c>
      <c r="P96" s="194" t="str">
        <f t="shared" si="6"/>
        <v>0,00%</v>
      </c>
      <c r="Q96" s="75"/>
      <c r="R96" s="32" t="str">
        <f>IF(Fluxo_de_Caixa_Janeiro310201314[[#This Row],[% ACUMULADO  3º SEMEST 2026]]&lt;=Fluxo_de_Caixa_Janeiro310201314[[#This Row],[Coluna1]],"VERDADEIRO","FALSO")</f>
        <v>FALSO</v>
      </c>
    </row>
    <row r="97" spans="1:20" ht="15.75" thickBot="1" x14ac:dyDescent="0.3">
      <c r="B97" s="55" t="str">
        <f>Fluxo_de_Caixa_Janeiro[[#This Row],[Fluxo de Caixa 2026 CTR]]</f>
        <v>3.1.09. PGTO DISTRATO REPRES COMERCIAL</v>
      </c>
      <c r="C97" s="35"/>
      <c r="D97" s="62"/>
      <c r="E97" s="62"/>
      <c r="F97" s="62"/>
      <c r="G97" s="62"/>
      <c r="H97" s="62"/>
      <c r="I97" s="35">
        <f>Fluxo_de_Caixa_Janeiro3459117[[#This Row],[JULHO]]</f>
        <v>0</v>
      </c>
      <c r="J97" s="62">
        <f>Fluxo_de_Caixa_Janeiro345911710[[#This Row],[AGOSTO]]</f>
        <v>0</v>
      </c>
      <c r="K97" s="62">
        <f>Fluxo_de_Caixa_Janeiro34591171012[[#This Row],[SETEMBRO]]</f>
        <v>0</v>
      </c>
      <c r="L97" s="62"/>
      <c r="M97" s="62"/>
      <c r="N97" s="119"/>
      <c r="O97" s="224">
        <f>SUM(Fluxo_de_Caixa_Janeiro310201314[[#This Row],[Janeiro]:[Dezembro]])</f>
        <v>0</v>
      </c>
      <c r="P97" s="194" t="str">
        <f t="shared" si="6"/>
        <v>0,00%</v>
      </c>
      <c r="Q97" s="75"/>
      <c r="R97" s="32" t="str">
        <f>IF(Fluxo_de_Caixa_Janeiro310201314[[#This Row],[% ACUMULADO  3º SEMEST 2026]]&lt;=Fluxo_de_Caixa_Janeiro310201314[[#This Row],[Coluna1]],"VERDADEIRO","FALSO")</f>
        <v>FALSO</v>
      </c>
    </row>
    <row r="98" spans="1:20" ht="15.75" hidden="1" thickBot="1" x14ac:dyDescent="0.3">
      <c r="B98" s="55" t="str">
        <f>Fluxo_de_Caixa_Janeiro[[#This Row],[Fluxo de Caixa 2026 CTR]]</f>
        <v>3.1.10. TARIFA PIX RECEBIDO</v>
      </c>
      <c r="C98" s="35"/>
      <c r="D98" s="62"/>
      <c r="E98" s="62"/>
      <c r="F98" s="62"/>
      <c r="G98" s="62"/>
      <c r="H98" s="62"/>
      <c r="I98" s="35">
        <f>Fluxo_de_Caixa_Janeiro3459117[[#This Row],[JULHO]]</f>
        <v>0</v>
      </c>
      <c r="J98" s="62">
        <f>Fluxo_de_Caixa_Janeiro345911710[[#This Row],[AGOSTO]]</f>
        <v>0</v>
      </c>
      <c r="K98" s="62">
        <f>Fluxo_de_Caixa_Janeiro34591171012[[#This Row],[SETEMBRO]]</f>
        <v>0</v>
      </c>
      <c r="L98" s="62"/>
      <c r="M98" s="62"/>
      <c r="N98" s="119"/>
      <c r="O98" s="224">
        <f>SUM(Fluxo_de_Caixa_Janeiro310201314[[#This Row],[Janeiro]:[Dezembro]])</f>
        <v>0</v>
      </c>
      <c r="P98" s="194" t="str">
        <f t="shared" si="6"/>
        <v>0,00%</v>
      </c>
      <c r="Q98" s="75"/>
      <c r="R98" s="32" t="str">
        <f>IF(Fluxo_de_Caixa_Janeiro310201314[[#This Row],[% ACUMULADO  3º SEMEST 2026]]&lt;=Fluxo_de_Caixa_Janeiro310201314[[#This Row],[Coluna1]],"VERDADEIRO","FALSO")</f>
        <v>FALSO</v>
      </c>
    </row>
    <row r="99" spans="1:20" ht="15.75" hidden="1" thickBot="1" x14ac:dyDescent="0.3">
      <c r="B99" s="276">
        <f>Fluxo_de_Caixa_Janeiro[[#This Row],[Fluxo de Caixa 2026 CTR]]</f>
        <v>0</v>
      </c>
      <c r="C99" s="36"/>
      <c r="D99" s="82"/>
      <c r="E99" s="82"/>
      <c r="F99" s="82"/>
      <c r="G99" s="82"/>
      <c r="H99" s="82"/>
      <c r="I99" s="36">
        <f>Fluxo_de_Caixa_Janeiro3459117[[#This Row],[JULHO]]</f>
        <v>0</v>
      </c>
      <c r="J99" s="82">
        <f>Fluxo_de_Caixa_Janeiro345911710[[#This Row],[AGOSTO]]</f>
        <v>0</v>
      </c>
      <c r="K99" s="82">
        <f>Fluxo_de_Caixa_Janeiro34591171012[[#This Row],[SETEMBRO]]</f>
        <v>0</v>
      </c>
      <c r="L99" s="82"/>
      <c r="M99" s="82"/>
      <c r="N99" s="120"/>
      <c r="O99" s="225">
        <f>SUM(Fluxo_de_Caixa_Janeiro310201314[[#This Row],[Janeiro]:[Dezembro]])</f>
        <v>0</v>
      </c>
      <c r="P99" s="195" t="str">
        <f t="shared" si="6"/>
        <v>0,00%</v>
      </c>
      <c r="Q99" s="96"/>
      <c r="R99" s="32" t="str">
        <f>IF(Fluxo_de_Caixa_Janeiro310201314[[#This Row],[% ACUMULADO  3º SEMEST 2026]]&lt;=Fluxo_de_Caixa_Janeiro310201314[[#This Row],[Coluna1]],"VERDADEIRO","FALSO")</f>
        <v>FALSO</v>
      </c>
    </row>
    <row r="100" spans="1:20" ht="19.5" thickBot="1" x14ac:dyDescent="0.35">
      <c r="A100" s="15" t="s">
        <v>3</v>
      </c>
      <c r="B100" s="168" t="str">
        <f>Fluxo_de_Caixa_Janeiro[[#This Row],[Fluxo de Caixa 2026 CTR]]</f>
        <v>3.2. DESPESA COM FUNCIONÁRIO</v>
      </c>
      <c r="C100" s="158"/>
      <c r="D100" s="97"/>
      <c r="E100" s="97"/>
      <c r="F100" s="97"/>
      <c r="G100" s="97"/>
      <c r="H100" s="97"/>
      <c r="I100" s="158">
        <f>Fluxo_de_Caixa_Janeiro3459117[[#This Row],[JULHO]]</f>
        <v>0</v>
      </c>
      <c r="J100" s="97">
        <f>Fluxo_de_Caixa_Janeiro345911710[[#This Row],[AGOSTO]]</f>
        <v>0</v>
      </c>
      <c r="K100" s="97">
        <f>Fluxo_de_Caixa_Janeiro34591171012[[#This Row],[SETEMBRO]]</f>
        <v>0</v>
      </c>
      <c r="L100" s="97"/>
      <c r="M100" s="97"/>
      <c r="N100" s="129"/>
      <c r="O100" s="226">
        <f>SUM(Fluxo_de_Caixa_Janeiro310201314[[#This Row],[Janeiro]:[Dezembro]])</f>
        <v>0</v>
      </c>
      <c r="P100" s="144">
        <f>-IFERROR(O100/$O$27,"0,00")</f>
        <v>0</v>
      </c>
      <c r="Q100" s="98"/>
      <c r="R100" s="32" t="str">
        <f>IF(Fluxo_de_Caixa_Janeiro310201314[[#This Row],[% ACUMULADO  3º SEMEST 2026]]&lt;=Fluxo_de_Caixa_Janeiro310201314[[#This Row],[Coluna1]],"VERDADEIRO","FALSO")</f>
        <v>VERDADEIRO</v>
      </c>
    </row>
    <row r="101" spans="1:20" x14ac:dyDescent="0.25">
      <c r="B101" s="169" t="str">
        <f>Fluxo_de_Caixa_Janeiro[[#This Row],[Fluxo de Caixa 2026 CTR]]</f>
        <v>3.2.01. Salário (CLT)</v>
      </c>
      <c r="C101" s="41"/>
      <c r="D101" s="81"/>
      <c r="E101" s="81"/>
      <c r="F101" s="81"/>
      <c r="G101" s="81"/>
      <c r="H101" s="81"/>
      <c r="I101" s="41">
        <f>Fluxo_de_Caixa_Janeiro3459117[[#This Row],[JULHO]]</f>
        <v>0</v>
      </c>
      <c r="J101" s="81">
        <f>Fluxo_de_Caixa_Janeiro345911710[[#This Row],[AGOSTO]]</f>
        <v>0</v>
      </c>
      <c r="K101" s="81">
        <f>Fluxo_de_Caixa_Janeiro34591171012[[#This Row],[SETEMBRO]]</f>
        <v>0</v>
      </c>
      <c r="L101" s="81"/>
      <c r="M101" s="81"/>
      <c r="N101" s="118"/>
      <c r="O101" s="223">
        <f>SUM(Fluxo_de_Caixa_Janeiro310201314[[#This Row],[Janeiro]:[Dezembro]])</f>
        <v>0</v>
      </c>
      <c r="P101" s="193" t="str">
        <f t="shared" ref="P101:P130" si="7">IFERROR(O101/$O$27,"0,00%")</f>
        <v>0,00%</v>
      </c>
      <c r="Q101" s="93"/>
      <c r="R101" s="32" t="str">
        <f>IF(Fluxo_de_Caixa_Janeiro310201314[[#This Row],[% ACUMULADO  3º SEMEST 2026]]&lt;=Fluxo_de_Caixa_Janeiro310201314[[#This Row],[Coluna1]],"VERDADEIRO","FALSO")</f>
        <v>FALSO</v>
      </c>
    </row>
    <row r="102" spans="1:20" x14ac:dyDescent="0.25">
      <c r="B102" s="55" t="str">
        <f>Fluxo_de_Caixa_Janeiro[[#This Row],[Fluxo de Caixa 2026 CTR]]</f>
        <v>3.2.02. Adiantamento Salários/Vales</v>
      </c>
      <c r="C102" s="35"/>
      <c r="D102" s="62"/>
      <c r="E102" s="62"/>
      <c r="F102" s="62"/>
      <c r="G102" s="62"/>
      <c r="H102" s="62"/>
      <c r="I102" s="35">
        <f>Fluxo_de_Caixa_Janeiro3459117[[#This Row],[JULHO]]</f>
        <v>0</v>
      </c>
      <c r="J102" s="62">
        <f>Fluxo_de_Caixa_Janeiro345911710[[#This Row],[AGOSTO]]</f>
        <v>0</v>
      </c>
      <c r="K102" s="62">
        <f>Fluxo_de_Caixa_Janeiro34591171012[[#This Row],[SETEMBRO]]</f>
        <v>0</v>
      </c>
      <c r="L102" s="62"/>
      <c r="M102" s="62"/>
      <c r="N102" s="119"/>
      <c r="O102" s="224">
        <f>SUM(Fluxo_de_Caixa_Janeiro310201314[[#This Row],[Janeiro]:[Dezembro]])</f>
        <v>0</v>
      </c>
      <c r="P102" s="194" t="str">
        <f t="shared" si="7"/>
        <v>0,00%</v>
      </c>
      <c r="Q102" s="75"/>
      <c r="R102" s="32" t="str">
        <f>IF(Fluxo_de_Caixa_Janeiro310201314[[#This Row],[% ACUMULADO  3º SEMEST 2026]]&lt;=Fluxo_de_Caixa_Janeiro310201314[[#This Row],[Coluna1]],"VERDADEIRO","FALSO")</f>
        <v>FALSO</v>
      </c>
      <c r="T102" s="287"/>
    </row>
    <row r="103" spans="1:20" x14ac:dyDescent="0.25">
      <c r="B103" s="55" t="str">
        <f>Fluxo_de_Caixa_Janeiro[[#This Row],[Fluxo de Caixa 2026 CTR]]</f>
        <v xml:space="preserve">3.2.03. Auxilio Alimentação/Refeição </v>
      </c>
      <c r="C103" s="35"/>
      <c r="D103" s="62"/>
      <c r="E103" s="62"/>
      <c r="F103" s="62"/>
      <c r="G103" s="62"/>
      <c r="H103" s="62"/>
      <c r="I103" s="35">
        <f>Fluxo_de_Caixa_Janeiro3459117[[#This Row],[JULHO]]</f>
        <v>0</v>
      </c>
      <c r="J103" s="62">
        <f>Fluxo_de_Caixa_Janeiro345911710[[#This Row],[AGOSTO]]</f>
        <v>0</v>
      </c>
      <c r="K103" s="62">
        <f>Fluxo_de_Caixa_Janeiro34591171012[[#This Row],[SETEMBRO]]</f>
        <v>0</v>
      </c>
      <c r="L103" s="62"/>
      <c r="M103" s="62"/>
      <c r="N103" s="119"/>
      <c r="O103" s="224">
        <f>SUM(Fluxo_de_Caixa_Janeiro310201314[[#This Row],[Janeiro]:[Dezembro]])</f>
        <v>0</v>
      </c>
      <c r="P103" s="194" t="str">
        <f t="shared" si="7"/>
        <v>0,00%</v>
      </c>
      <c r="Q103" s="75"/>
      <c r="R103" s="32" t="str">
        <f>IF(Fluxo_de_Caixa_Janeiro310201314[[#This Row],[% ACUMULADO  3º SEMEST 2026]]&lt;=Fluxo_de_Caixa_Janeiro310201314[[#This Row],[Coluna1]],"VERDADEIRO","FALSO")</f>
        <v>FALSO</v>
      </c>
    </row>
    <row r="104" spans="1:20" x14ac:dyDescent="0.25">
      <c r="B104" s="55" t="str">
        <f>Fluxo_de_Caixa_Janeiro[[#This Row],[Fluxo de Caixa 2026 CTR]]</f>
        <v>3.2.04. Auxilio Combustível</v>
      </c>
      <c r="C104" s="35"/>
      <c r="D104" s="62"/>
      <c r="E104" s="62"/>
      <c r="F104" s="62"/>
      <c r="G104" s="62"/>
      <c r="H104" s="62"/>
      <c r="I104" s="35">
        <f>Fluxo_de_Caixa_Janeiro3459117[[#This Row],[JULHO]]</f>
        <v>0</v>
      </c>
      <c r="J104" s="62">
        <f>Fluxo_de_Caixa_Janeiro345911710[[#This Row],[AGOSTO]]</f>
        <v>0</v>
      </c>
      <c r="K104" s="62">
        <f>Fluxo_de_Caixa_Janeiro34591171012[[#This Row],[SETEMBRO]]</f>
        <v>0</v>
      </c>
      <c r="L104" s="62"/>
      <c r="M104" s="62"/>
      <c r="N104" s="119"/>
      <c r="O104" s="224">
        <f>SUM(Fluxo_de_Caixa_Janeiro310201314[[#This Row],[Janeiro]:[Dezembro]])</f>
        <v>0</v>
      </c>
      <c r="P104" s="194" t="str">
        <f t="shared" si="7"/>
        <v>0,00%</v>
      </c>
      <c r="Q104" s="75"/>
      <c r="R104" s="32" t="str">
        <f>IF(Fluxo_de_Caixa_Janeiro310201314[[#This Row],[% ACUMULADO  3º SEMEST 2026]]&lt;=Fluxo_de_Caixa_Janeiro310201314[[#This Row],[Coluna1]],"VERDADEIRO","FALSO")</f>
        <v>FALSO</v>
      </c>
    </row>
    <row r="105" spans="1:20" x14ac:dyDescent="0.25">
      <c r="B105" s="55" t="str">
        <f>Fluxo_de_Caixa_Janeiro[[#This Row],[Fluxo de Caixa 2026 CTR]]</f>
        <v>3.2.05. Seguro de Vida Funcionarios</v>
      </c>
      <c r="C105" s="35"/>
      <c r="D105" s="62"/>
      <c r="E105" s="62"/>
      <c r="F105" s="62"/>
      <c r="G105" s="62"/>
      <c r="H105" s="62"/>
      <c r="I105" s="35">
        <f>Fluxo_de_Caixa_Janeiro3459117[[#This Row],[JULHO]]</f>
        <v>0</v>
      </c>
      <c r="J105" s="62">
        <f>Fluxo_de_Caixa_Janeiro345911710[[#This Row],[AGOSTO]]</f>
        <v>0</v>
      </c>
      <c r="K105" s="62">
        <f>Fluxo_de_Caixa_Janeiro34591171012[[#This Row],[SETEMBRO]]</f>
        <v>0</v>
      </c>
      <c r="L105" s="62"/>
      <c r="M105" s="62"/>
      <c r="N105" s="119"/>
      <c r="O105" s="224">
        <f>SUM(Fluxo_de_Caixa_Janeiro310201314[[#This Row],[Janeiro]:[Dezembro]])</f>
        <v>0</v>
      </c>
      <c r="P105" s="194" t="str">
        <f t="shared" si="7"/>
        <v>0,00%</v>
      </c>
      <c r="Q105" s="75"/>
      <c r="R105" s="32" t="str">
        <f>IF(Fluxo_de_Caixa_Janeiro310201314[[#This Row],[% ACUMULADO  3º SEMEST 2026]]&lt;=Fluxo_de_Caixa_Janeiro310201314[[#This Row],[Coluna1]],"VERDADEIRO","FALSO")</f>
        <v>FALSO</v>
      </c>
    </row>
    <row r="106" spans="1:20" x14ac:dyDescent="0.25">
      <c r="B106" s="55" t="str">
        <f>Fluxo_de_Caixa_Janeiro[[#This Row],[Fluxo de Caixa 2026 CTR]]</f>
        <v>3.2.06. Confraternização e premiação</v>
      </c>
      <c r="C106" s="35"/>
      <c r="D106" s="62"/>
      <c r="E106" s="62"/>
      <c r="F106" s="62"/>
      <c r="G106" s="62"/>
      <c r="H106" s="62"/>
      <c r="I106" s="35">
        <f>Fluxo_de_Caixa_Janeiro3459117[[#This Row],[JULHO]]</f>
        <v>0</v>
      </c>
      <c r="J106" s="62">
        <f>Fluxo_de_Caixa_Janeiro345911710[[#This Row],[AGOSTO]]</f>
        <v>0</v>
      </c>
      <c r="K106" s="62">
        <f>Fluxo_de_Caixa_Janeiro34591171012[[#This Row],[SETEMBRO]]</f>
        <v>0</v>
      </c>
      <c r="L106" s="62"/>
      <c r="M106" s="62"/>
      <c r="N106" s="119"/>
      <c r="O106" s="224">
        <f>SUM(Fluxo_de_Caixa_Janeiro310201314[[#This Row],[Janeiro]:[Dezembro]])</f>
        <v>0</v>
      </c>
      <c r="P106" s="194" t="str">
        <f t="shared" si="7"/>
        <v>0,00%</v>
      </c>
      <c r="Q106" s="75"/>
      <c r="R106" s="32" t="str">
        <f>IF(Fluxo_de_Caixa_Janeiro310201314[[#This Row],[% ACUMULADO  3º SEMEST 2026]]&lt;=Fluxo_de_Caixa_Janeiro310201314[[#This Row],[Coluna1]],"VERDADEIRO","FALSO")</f>
        <v>FALSO</v>
      </c>
    </row>
    <row r="107" spans="1:20" x14ac:dyDescent="0.25">
      <c r="B107" s="55" t="str">
        <f>Fluxo_de_Caixa_Janeiro[[#This Row],[Fluxo de Caixa 2026 CTR]]</f>
        <v>3.2.07. Viagens e Estadias Funcionarios</v>
      </c>
      <c r="C107" s="35"/>
      <c r="D107" s="62"/>
      <c r="E107" s="62"/>
      <c r="F107" s="62"/>
      <c r="G107" s="62"/>
      <c r="H107" s="62"/>
      <c r="I107" s="35">
        <f>Fluxo_de_Caixa_Janeiro3459117[[#This Row],[JULHO]]</f>
        <v>0</v>
      </c>
      <c r="J107" s="62">
        <f>Fluxo_de_Caixa_Janeiro345911710[[#This Row],[AGOSTO]]</f>
        <v>0</v>
      </c>
      <c r="K107" s="62">
        <f>Fluxo_de_Caixa_Janeiro34591171012[[#This Row],[SETEMBRO]]</f>
        <v>0</v>
      </c>
      <c r="L107" s="62"/>
      <c r="M107" s="62"/>
      <c r="N107" s="119"/>
      <c r="O107" s="224">
        <f>SUM(Fluxo_de_Caixa_Janeiro310201314[[#This Row],[Janeiro]:[Dezembro]])</f>
        <v>0</v>
      </c>
      <c r="P107" s="194" t="str">
        <f t="shared" si="7"/>
        <v>0,00%</v>
      </c>
      <c r="Q107" s="75"/>
      <c r="R107" s="32" t="str">
        <f>IF(Fluxo_de_Caixa_Janeiro310201314[[#This Row],[% ACUMULADO  3º SEMEST 2026]]&lt;=Fluxo_de_Caixa_Janeiro310201314[[#This Row],[Coluna1]],"VERDADEIRO","FALSO")</f>
        <v>FALSO</v>
      </c>
    </row>
    <row r="108" spans="1:20" x14ac:dyDescent="0.25">
      <c r="B108" s="55" t="str">
        <f>Fluxo_de_Caixa_Janeiro[[#This Row],[Fluxo de Caixa 2026 CTR]]</f>
        <v>3.2.08. Treinamento e Cursos</v>
      </c>
      <c r="C108" s="35"/>
      <c r="D108" s="62"/>
      <c r="E108" s="62"/>
      <c r="F108" s="62"/>
      <c r="G108" s="62"/>
      <c r="H108" s="62"/>
      <c r="I108" s="35">
        <f>Fluxo_de_Caixa_Janeiro3459117[[#This Row],[JULHO]]</f>
        <v>0</v>
      </c>
      <c r="J108" s="62">
        <f>Fluxo_de_Caixa_Janeiro345911710[[#This Row],[AGOSTO]]</f>
        <v>0</v>
      </c>
      <c r="K108" s="62">
        <f>Fluxo_de_Caixa_Janeiro34591171012[[#This Row],[SETEMBRO]]</f>
        <v>0</v>
      </c>
      <c r="L108" s="62"/>
      <c r="M108" s="62"/>
      <c r="N108" s="119"/>
      <c r="O108" s="224">
        <f>SUM(Fluxo_de_Caixa_Janeiro310201314[[#This Row],[Janeiro]:[Dezembro]])</f>
        <v>0</v>
      </c>
      <c r="P108" s="194" t="str">
        <f t="shared" si="7"/>
        <v>0,00%</v>
      </c>
      <c r="Q108" s="75"/>
      <c r="R108" s="32" t="str">
        <f>IF(Fluxo_de_Caixa_Janeiro310201314[[#This Row],[% ACUMULADO  3º SEMEST 2026]]&lt;=Fluxo_de_Caixa_Janeiro310201314[[#This Row],[Coluna1]],"VERDADEIRO","FALSO")</f>
        <v>FALSO</v>
      </c>
    </row>
    <row r="109" spans="1:20" x14ac:dyDescent="0.25">
      <c r="B109" s="55" t="str">
        <f>Fluxo_de_Caixa_Janeiro[[#This Row],[Fluxo de Caixa 2026 CTR]]</f>
        <v>3.2.09. Ajuda de Custo Faculdade/Pós Graduação</v>
      </c>
      <c r="C109" s="35"/>
      <c r="D109" s="62"/>
      <c r="E109" s="62"/>
      <c r="F109" s="62"/>
      <c r="G109" s="62"/>
      <c r="H109" s="62"/>
      <c r="I109" s="35">
        <f>Fluxo_de_Caixa_Janeiro3459117[[#This Row],[JULHO]]</f>
        <v>0</v>
      </c>
      <c r="J109" s="62">
        <f>Fluxo_de_Caixa_Janeiro345911710[[#This Row],[AGOSTO]]</f>
        <v>0</v>
      </c>
      <c r="K109" s="62">
        <f>Fluxo_de_Caixa_Janeiro34591171012[[#This Row],[SETEMBRO]]</f>
        <v>0</v>
      </c>
      <c r="L109" s="62"/>
      <c r="M109" s="62"/>
      <c r="N109" s="119"/>
      <c r="O109" s="224">
        <f>SUM(Fluxo_de_Caixa_Janeiro310201314[[#This Row],[Janeiro]:[Dezembro]])</f>
        <v>0</v>
      </c>
      <c r="P109" s="194" t="str">
        <f t="shared" si="7"/>
        <v>0,00%</v>
      </c>
      <c r="Q109" s="75"/>
      <c r="R109" s="32" t="str">
        <f>IF(Fluxo_de_Caixa_Janeiro310201314[[#This Row],[% ACUMULADO  3º SEMEST 2026]]&lt;=Fluxo_de_Caixa_Janeiro310201314[[#This Row],[Coluna1]],"VERDADEIRO","FALSO")</f>
        <v>FALSO</v>
      </c>
    </row>
    <row r="110" spans="1:20" x14ac:dyDescent="0.25">
      <c r="B110" s="55" t="str">
        <f>Fluxo_de_Caixa_Janeiro[[#This Row],[Fluxo de Caixa 2026 CTR]]</f>
        <v>3.2.10. Férias</v>
      </c>
      <c r="C110" s="35"/>
      <c r="D110" s="62"/>
      <c r="E110" s="62"/>
      <c r="F110" s="62"/>
      <c r="G110" s="62"/>
      <c r="H110" s="62"/>
      <c r="I110" s="35">
        <f>Fluxo_de_Caixa_Janeiro3459117[[#This Row],[JULHO]]</f>
        <v>0</v>
      </c>
      <c r="J110" s="62">
        <f>Fluxo_de_Caixa_Janeiro345911710[[#This Row],[AGOSTO]]</f>
        <v>0</v>
      </c>
      <c r="K110" s="62">
        <f>Fluxo_de_Caixa_Janeiro34591171012[[#This Row],[SETEMBRO]]</f>
        <v>0</v>
      </c>
      <c r="L110" s="62"/>
      <c r="M110" s="62"/>
      <c r="N110" s="119"/>
      <c r="O110" s="224">
        <f>SUM(Fluxo_de_Caixa_Janeiro310201314[[#This Row],[Janeiro]:[Dezembro]])</f>
        <v>0</v>
      </c>
      <c r="P110" s="194" t="str">
        <f t="shared" si="7"/>
        <v>0,00%</v>
      </c>
      <c r="Q110" s="75"/>
      <c r="R110" s="32" t="str">
        <f>IF(Fluxo_de_Caixa_Janeiro310201314[[#This Row],[% ACUMULADO  3º SEMEST 2026]]&lt;=Fluxo_de_Caixa_Janeiro310201314[[#This Row],[Coluna1]],"VERDADEIRO","FALSO")</f>
        <v>FALSO</v>
      </c>
    </row>
    <row r="111" spans="1:20" x14ac:dyDescent="0.25">
      <c r="B111" s="55" t="str">
        <f>Fluxo_de_Caixa_Janeiro[[#This Row],[Fluxo de Caixa 2026 CTR]]</f>
        <v>3.2.11. Auxilio Saúde e Odontológico</v>
      </c>
      <c r="C111" s="35"/>
      <c r="D111" s="62"/>
      <c r="E111" s="62"/>
      <c r="F111" s="62"/>
      <c r="G111" s="62"/>
      <c r="H111" s="62"/>
      <c r="I111" s="35">
        <f>Fluxo_de_Caixa_Janeiro3459117[[#This Row],[JULHO]]</f>
        <v>0</v>
      </c>
      <c r="J111" s="62">
        <f>Fluxo_de_Caixa_Janeiro345911710[[#This Row],[AGOSTO]]</f>
        <v>0</v>
      </c>
      <c r="K111" s="62">
        <f>Fluxo_de_Caixa_Janeiro34591171012[[#This Row],[SETEMBRO]]</f>
        <v>0</v>
      </c>
      <c r="L111" s="62"/>
      <c r="M111" s="62"/>
      <c r="N111" s="119"/>
      <c r="O111" s="224">
        <f>SUM(Fluxo_de_Caixa_Janeiro310201314[[#This Row],[Janeiro]:[Dezembro]])</f>
        <v>0</v>
      </c>
      <c r="P111" s="194" t="str">
        <f t="shared" si="7"/>
        <v>0,00%</v>
      </c>
      <c r="Q111" s="75"/>
      <c r="R111" s="32" t="str">
        <f>IF(Fluxo_de_Caixa_Janeiro310201314[[#This Row],[% ACUMULADO  3º SEMEST 2026]]&lt;=Fluxo_de_Caixa_Janeiro310201314[[#This Row],[Coluna1]],"VERDADEIRO","FALSO")</f>
        <v>FALSO</v>
      </c>
    </row>
    <row r="112" spans="1:20" x14ac:dyDescent="0.25">
      <c r="B112" s="55" t="str">
        <f>Fluxo_de_Caixa_Janeiro[[#This Row],[Fluxo de Caixa 2026 CTR]]</f>
        <v>3.2.12. Vale Transporte</v>
      </c>
      <c r="C112" s="35"/>
      <c r="D112" s="62"/>
      <c r="E112" s="62"/>
      <c r="F112" s="62"/>
      <c r="G112" s="62"/>
      <c r="H112" s="62"/>
      <c r="I112" s="35">
        <f>Fluxo_de_Caixa_Janeiro3459117[[#This Row],[JULHO]]</f>
        <v>0</v>
      </c>
      <c r="J112" s="62">
        <f>Fluxo_de_Caixa_Janeiro345911710[[#This Row],[AGOSTO]]</f>
        <v>0</v>
      </c>
      <c r="K112" s="62">
        <f>Fluxo_de_Caixa_Janeiro34591171012[[#This Row],[SETEMBRO]]</f>
        <v>0</v>
      </c>
      <c r="L112" s="62"/>
      <c r="M112" s="62"/>
      <c r="N112" s="119"/>
      <c r="O112" s="224">
        <f>SUM(Fluxo_de_Caixa_Janeiro310201314[[#This Row],[Janeiro]:[Dezembro]])</f>
        <v>0</v>
      </c>
      <c r="P112" s="194" t="str">
        <f t="shared" si="7"/>
        <v>0,00%</v>
      </c>
      <c r="Q112" s="75"/>
      <c r="R112" s="32" t="str">
        <f>IF(Fluxo_de_Caixa_Janeiro310201314[[#This Row],[% ACUMULADO  3º SEMEST 2026]]&lt;=Fluxo_de_Caixa_Janeiro310201314[[#This Row],[Coluna1]],"VERDADEIRO","FALSO")</f>
        <v>FALSO</v>
      </c>
    </row>
    <row r="113" spans="2:18" x14ac:dyDescent="0.25">
      <c r="B113" s="55" t="str">
        <f>Fluxo_de_Caixa_Janeiro[[#This Row],[Fluxo de Caixa 2026 CTR]]</f>
        <v>3.2.13. FGTS</v>
      </c>
      <c r="C113" s="35"/>
      <c r="D113" s="62"/>
      <c r="E113" s="62"/>
      <c r="F113" s="62"/>
      <c r="G113" s="62"/>
      <c r="H113" s="62"/>
      <c r="I113" s="35">
        <f>Fluxo_de_Caixa_Janeiro3459117[[#This Row],[JULHO]]</f>
        <v>0</v>
      </c>
      <c r="J113" s="62">
        <f>Fluxo_de_Caixa_Janeiro345911710[[#This Row],[AGOSTO]]</f>
        <v>0</v>
      </c>
      <c r="K113" s="62">
        <f>Fluxo_de_Caixa_Janeiro34591171012[[#This Row],[SETEMBRO]]</f>
        <v>0</v>
      </c>
      <c r="L113" s="62"/>
      <c r="M113" s="62"/>
      <c r="N113" s="119"/>
      <c r="O113" s="224">
        <f>SUM(Fluxo_de_Caixa_Janeiro310201314[[#This Row],[Janeiro]:[Dezembro]])</f>
        <v>0</v>
      </c>
      <c r="P113" s="194" t="str">
        <f t="shared" si="7"/>
        <v>0,00%</v>
      </c>
      <c r="Q113" s="75"/>
      <c r="R113" s="32" t="str">
        <f>IF(Fluxo_de_Caixa_Janeiro310201314[[#This Row],[% ACUMULADO  3º SEMEST 2026]]&lt;=Fluxo_de_Caixa_Janeiro310201314[[#This Row],[Coluna1]],"VERDADEIRO","FALSO")</f>
        <v>FALSO</v>
      </c>
    </row>
    <row r="114" spans="2:18" x14ac:dyDescent="0.25">
      <c r="B114" s="169" t="str">
        <f>Fluxo_de_Caixa_Janeiro[[#This Row],[Fluxo de Caixa 2026 CTR]]</f>
        <v xml:space="preserve">3.2.14. INSS/GPS </v>
      </c>
      <c r="C114" s="41"/>
      <c r="D114" s="81"/>
      <c r="E114" s="81"/>
      <c r="F114" s="81"/>
      <c r="G114" s="81"/>
      <c r="H114" s="81"/>
      <c r="I114" s="41">
        <f>Fluxo_de_Caixa_Janeiro3459117[[#This Row],[JULHO]]</f>
        <v>0</v>
      </c>
      <c r="J114" s="81">
        <f>Fluxo_de_Caixa_Janeiro345911710[[#This Row],[AGOSTO]]</f>
        <v>0</v>
      </c>
      <c r="K114" s="81">
        <f>Fluxo_de_Caixa_Janeiro34591171012[[#This Row],[SETEMBRO]]</f>
        <v>0</v>
      </c>
      <c r="L114" s="81"/>
      <c r="M114" s="81"/>
      <c r="N114" s="118"/>
      <c r="O114" s="223">
        <f>SUM(Fluxo_de_Caixa_Janeiro310201314[[#This Row],[Janeiro]:[Dezembro]])</f>
        <v>0</v>
      </c>
      <c r="P114" s="193" t="str">
        <f t="shared" si="7"/>
        <v>0,00%</v>
      </c>
      <c r="Q114" s="93"/>
      <c r="R114" s="32" t="str">
        <f>IF(Fluxo_de_Caixa_Janeiro310201314[[#This Row],[% ACUMULADO  3º SEMEST 2026]]&lt;=Fluxo_de_Caixa_Janeiro310201314[[#This Row],[Coluna1]],"VERDADEIRO","FALSO")</f>
        <v>FALSO</v>
      </c>
    </row>
    <row r="115" spans="2:18" x14ac:dyDescent="0.25">
      <c r="B115" s="55" t="str">
        <f>Fluxo_de_Caixa_Janeiro[[#This Row],[Fluxo de Caixa 2026 CTR]]</f>
        <v>3.2.15. Contribuição Sindical</v>
      </c>
      <c r="C115" s="35"/>
      <c r="D115" s="62"/>
      <c r="E115" s="62"/>
      <c r="F115" s="62"/>
      <c r="G115" s="62"/>
      <c r="H115" s="62"/>
      <c r="I115" s="35">
        <f>Fluxo_de_Caixa_Janeiro3459117[[#This Row],[JULHO]]</f>
        <v>0</v>
      </c>
      <c r="J115" s="62">
        <f>Fluxo_de_Caixa_Janeiro345911710[[#This Row],[AGOSTO]]</f>
        <v>0</v>
      </c>
      <c r="K115" s="62">
        <f>Fluxo_de_Caixa_Janeiro34591171012[[#This Row],[SETEMBRO]]</f>
        <v>0</v>
      </c>
      <c r="L115" s="62"/>
      <c r="M115" s="62"/>
      <c r="N115" s="119"/>
      <c r="O115" s="224">
        <f>SUM(Fluxo_de_Caixa_Janeiro310201314[[#This Row],[Janeiro]:[Dezembro]])</f>
        <v>0</v>
      </c>
      <c r="P115" s="194" t="str">
        <f t="shared" si="7"/>
        <v>0,00%</v>
      </c>
      <c r="Q115" s="75"/>
      <c r="R115" s="32" t="str">
        <f>IF(Fluxo_de_Caixa_Janeiro310201314[[#This Row],[% ACUMULADO  3º SEMEST 2026]]&lt;=Fluxo_de_Caixa_Janeiro310201314[[#This Row],[Coluna1]],"VERDADEIRO","FALSO")</f>
        <v>FALSO</v>
      </c>
    </row>
    <row r="116" spans="2:18" x14ac:dyDescent="0.25">
      <c r="B116" s="55" t="str">
        <f>Fluxo_de_Caixa_Janeiro[[#This Row],[Fluxo de Caixa 2026 CTR]]</f>
        <v xml:space="preserve">3.2.16. Rescisão Trabalhista </v>
      </c>
      <c r="C116" s="35"/>
      <c r="D116" s="62"/>
      <c r="E116" s="62"/>
      <c r="F116" s="62"/>
      <c r="G116" s="62"/>
      <c r="H116" s="62"/>
      <c r="I116" s="35">
        <f>Fluxo_de_Caixa_Janeiro3459117[[#This Row],[JULHO]]</f>
        <v>0</v>
      </c>
      <c r="J116" s="62">
        <f>Fluxo_de_Caixa_Janeiro345911710[[#This Row],[AGOSTO]]</f>
        <v>0</v>
      </c>
      <c r="K116" s="62">
        <f>Fluxo_de_Caixa_Janeiro34591171012[[#This Row],[SETEMBRO]]</f>
        <v>0</v>
      </c>
      <c r="L116" s="62"/>
      <c r="M116" s="62"/>
      <c r="N116" s="119"/>
      <c r="O116" s="224">
        <f>SUM(Fluxo_de_Caixa_Janeiro310201314[[#This Row],[Janeiro]:[Dezembro]])</f>
        <v>0</v>
      </c>
      <c r="P116" s="194" t="str">
        <f t="shared" si="7"/>
        <v>0,00%</v>
      </c>
      <c r="Q116" s="75"/>
      <c r="R116" s="32" t="str">
        <f>IF(Fluxo_de_Caixa_Janeiro310201314[[#This Row],[% ACUMULADO  3º SEMEST 2026]]&lt;=Fluxo_de_Caixa_Janeiro310201314[[#This Row],[Coluna1]],"VERDADEIRO","FALSO")</f>
        <v>FALSO</v>
      </c>
    </row>
    <row r="117" spans="2:18" x14ac:dyDescent="0.25">
      <c r="B117" s="55" t="str">
        <f>Fluxo_de_Caixa_Janeiro[[#This Row],[Fluxo de Caixa 2026 CTR]]</f>
        <v xml:space="preserve">3.2.17. Seleção e Contratação </v>
      </c>
      <c r="C117" s="35"/>
      <c r="D117" s="62"/>
      <c r="E117" s="62"/>
      <c r="F117" s="62"/>
      <c r="G117" s="62"/>
      <c r="H117" s="62"/>
      <c r="I117" s="35">
        <f>Fluxo_de_Caixa_Janeiro3459117[[#This Row],[JULHO]]</f>
        <v>0</v>
      </c>
      <c r="J117" s="62">
        <f>Fluxo_de_Caixa_Janeiro345911710[[#This Row],[AGOSTO]]</f>
        <v>0</v>
      </c>
      <c r="K117" s="62">
        <f>Fluxo_de_Caixa_Janeiro34591171012[[#This Row],[SETEMBRO]]</f>
        <v>0</v>
      </c>
      <c r="L117" s="62"/>
      <c r="M117" s="62"/>
      <c r="N117" s="119"/>
      <c r="O117" s="224">
        <f>SUM(Fluxo_de_Caixa_Janeiro310201314[[#This Row],[Janeiro]:[Dezembro]])</f>
        <v>0</v>
      </c>
      <c r="P117" s="194" t="str">
        <f t="shared" si="7"/>
        <v>0,00%</v>
      </c>
      <c r="Q117" s="75"/>
      <c r="R117" s="32" t="str">
        <f>IF(Fluxo_de_Caixa_Janeiro310201314[[#This Row],[% ACUMULADO  3º SEMEST 2026]]&lt;=Fluxo_de_Caixa_Janeiro310201314[[#This Row],[Coluna1]],"VERDADEIRO","FALSO")</f>
        <v>FALSO</v>
      </c>
    </row>
    <row r="118" spans="2:18" x14ac:dyDescent="0.25">
      <c r="B118" s="55" t="str">
        <f>Fluxo_de_Caixa_Janeiro[[#This Row],[Fluxo de Caixa 2026 CTR]]</f>
        <v>3.2.18. ASO</v>
      </c>
      <c r="C118" s="35"/>
      <c r="D118" s="62"/>
      <c r="E118" s="62"/>
      <c r="F118" s="62"/>
      <c r="G118" s="62"/>
      <c r="H118" s="62"/>
      <c r="I118" s="35">
        <f>Fluxo_de_Caixa_Janeiro3459117[[#This Row],[JULHO]]</f>
        <v>0</v>
      </c>
      <c r="J118" s="62">
        <f>Fluxo_de_Caixa_Janeiro345911710[[#This Row],[AGOSTO]]</f>
        <v>0</v>
      </c>
      <c r="K118" s="62">
        <f>Fluxo_de_Caixa_Janeiro34591171012[[#This Row],[SETEMBRO]]</f>
        <v>0</v>
      </c>
      <c r="L118" s="62"/>
      <c r="M118" s="62"/>
      <c r="N118" s="119"/>
      <c r="O118" s="224">
        <f>SUM(Fluxo_de_Caixa_Janeiro310201314[[#This Row],[Janeiro]:[Dezembro]])</f>
        <v>0</v>
      </c>
      <c r="P118" s="194" t="str">
        <f t="shared" si="7"/>
        <v>0,00%</v>
      </c>
      <c r="Q118" s="75"/>
      <c r="R118" s="32" t="str">
        <f>IF(Fluxo_de_Caixa_Janeiro310201314[[#This Row],[% ACUMULADO  3º SEMEST 2026]]&lt;=Fluxo_de_Caixa_Janeiro310201314[[#This Row],[Coluna1]],"VERDADEIRO","FALSO")</f>
        <v>FALSO</v>
      </c>
    </row>
    <row r="119" spans="2:18" x14ac:dyDescent="0.25">
      <c r="B119" s="55" t="str">
        <f>Fluxo_de_Caixa_Janeiro[[#This Row],[Fluxo de Caixa 2026 CTR]]</f>
        <v>3.2.19. IRRF S/ Salário</v>
      </c>
      <c r="C119" s="35"/>
      <c r="D119" s="62"/>
      <c r="E119" s="62"/>
      <c r="F119" s="62"/>
      <c r="G119" s="62"/>
      <c r="H119" s="62"/>
      <c r="I119" s="35">
        <f>Fluxo_de_Caixa_Janeiro3459117[[#This Row],[JULHO]]</f>
        <v>0</v>
      </c>
      <c r="J119" s="62">
        <f>Fluxo_de_Caixa_Janeiro345911710[[#This Row],[AGOSTO]]</f>
        <v>0</v>
      </c>
      <c r="K119" s="62">
        <f>Fluxo_de_Caixa_Janeiro34591171012[[#This Row],[SETEMBRO]]</f>
        <v>0</v>
      </c>
      <c r="L119" s="62"/>
      <c r="M119" s="62"/>
      <c r="N119" s="119"/>
      <c r="O119" s="224">
        <f>SUM(Fluxo_de_Caixa_Janeiro310201314[[#This Row],[Janeiro]:[Dezembro]])</f>
        <v>0</v>
      </c>
      <c r="P119" s="194" t="str">
        <f t="shared" si="7"/>
        <v>0,00%</v>
      </c>
      <c r="Q119" s="75"/>
      <c r="R119" s="32" t="str">
        <f>IF(Fluxo_de_Caixa_Janeiro310201314[[#This Row],[% ACUMULADO  3º SEMEST 2026]]&lt;=Fluxo_de_Caixa_Janeiro310201314[[#This Row],[Coluna1]],"VERDADEIRO","FALSO")</f>
        <v>FALSO</v>
      </c>
    </row>
    <row r="120" spans="2:18" hidden="1" x14ac:dyDescent="0.25">
      <c r="B120" s="55" t="str">
        <f>Fluxo_de_Caixa_Janeiro[[#This Row],[Fluxo de Caixa 2026 CTR]]</f>
        <v>3.2.20. Despesa com Terceirizado</v>
      </c>
      <c r="C120" s="35"/>
      <c r="D120" s="62"/>
      <c r="E120" s="62"/>
      <c r="F120" s="62"/>
      <c r="G120" s="62"/>
      <c r="H120" s="62"/>
      <c r="I120" s="35">
        <f>Fluxo_de_Caixa_Janeiro3459117[[#This Row],[JULHO]]</f>
        <v>0</v>
      </c>
      <c r="J120" s="62">
        <f>Fluxo_de_Caixa_Janeiro345911710[[#This Row],[AGOSTO]]</f>
        <v>0</v>
      </c>
      <c r="K120" s="62">
        <f>Fluxo_de_Caixa_Janeiro34591171012[[#This Row],[SETEMBRO]]</f>
        <v>0</v>
      </c>
      <c r="L120" s="62"/>
      <c r="M120" s="62"/>
      <c r="N120" s="119"/>
      <c r="O120" s="224">
        <f>SUM(Fluxo_de_Caixa_Janeiro310201314[[#This Row],[Janeiro]:[Dezembro]])</f>
        <v>0</v>
      </c>
      <c r="P120" s="194" t="str">
        <f t="shared" si="7"/>
        <v>0,00%</v>
      </c>
      <c r="Q120" s="75"/>
      <c r="R120" s="32" t="str">
        <f>IF(Fluxo_de_Caixa_Janeiro310201314[[#This Row],[% ACUMULADO  3º SEMEST 2026]]&lt;=Fluxo_de_Caixa_Janeiro310201314[[#This Row],[Coluna1]],"VERDADEIRO","FALSO")</f>
        <v>FALSO</v>
      </c>
    </row>
    <row r="121" spans="2:18" hidden="1" x14ac:dyDescent="0.25">
      <c r="B121" s="55" t="str">
        <f>Fluxo_de_Caixa_Janeiro[[#This Row],[Fluxo de Caixa 2026 CTR]]</f>
        <v>3.2.21. Uniformes e EPI</v>
      </c>
      <c r="C121" s="35"/>
      <c r="D121" s="62"/>
      <c r="E121" s="62"/>
      <c r="F121" s="62"/>
      <c r="G121" s="62"/>
      <c r="H121" s="62"/>
      <c r="I121" s="35">
        <f>Fluxo_de_Caixa_Janeiro3459117[[#This Row],[JULHO]]</f>
        <v>0</v>
      </c>
      <c r="J121" s="62">
        <f>Fluxo_de_Caixa_Janeiro345911710[[#This Row],[AGOSTO]]</f>
        <v>0</v>
      </c>
      <c r="K121" s="62">
        <f>Fluxo_de_Caixa_Janeiro34591171012[[#This Row],[SETEMBRO]]</f>
        <v>0</v>
      </c>
      <c r="L121" s="62"/>
      <c r="M121" s="62"/>
      <c r="N121" s="119"/>
      <c r="O121" s="224">
        <f>SUM(Fluxo_de_Caixa_Janeiro310201314[[#This Row],[Janeiro]:[Dezembro]])</f>
        <v>0</v>
      </c>
      <c r="P121" s="194" t="str">
        <f t="shared" si="7"/>
        <v>0,00%</v>
      </c>
      <c r="Q121" s="75"/>
      <c r="R121" s="32" t="str">
        <f>IF(Fluxo_de_Caixa_Janeiro310201314[[#This Row],[% ACUMULADO  3º SEMEST 2026]]&lt;=Fluxo_de_Caixa_Janeiro310201314[[#This Row],[Coluna1]],"VERDADEIRO","FALSO")</f>
        <v>FALSO</v>
      </c>
    </row>
    <row r="122" spans="2:18" x14ac:dyDescent="0.25">
      <c r="B122" s="55" t="str">
        <f>Fluxo_de_Caixa_Janeiro[[#This Row],[Fluxo de Caixa 2026 CTR]]</f>
        <v>3.2.22. Adiantamento de 13º Salário</v>
      </c>
      <c r="C122" s="35"/>
      <c r="D122" s="62"/>
      <c r="E122" s="62"/>
      <c r="F122" s="62"/>
      <c r="G122" s="62"/>
      <c r="H122" s="62"/>
      <c r="I122" s="35">
        <f>Fluxo_de_Caixa_Janeiro3459117[[#This Row],[JULHO]]</f>
        <v>0</v>
      </c>
      <c r="J122" s="62">
        <f>Fluxo_de_Caixa_Janeiro345911710[[#This Row],[AGOSTO]]</f>
        <v>0</v>
      </c>
      <c r="K122" s="62">
        <f>Fluxo_de_Caixa_Janeiro34591171012[[#This Row],[SETEMBRO]]</f>
        <v>0</v>
      </c>
      <c r="L122" s="62"/>
      <c r="M122" s="62"/>
      <c r="N122" s="119"/>
      <c r="O122" s="224">
        <f>SUM(Fluxo_de_Caixa_Janeiro310201314[[#This Row],[Janeiro]:[Dezembro]])</f>
        <v>0</v>
      </c>
      <c r="P122" s="194" t="str">
        <f t="shared" si="7"/>
        <v>0,00%</v>
      </c>
      <c r="Q122" s="75"/>
      <c r="R122" s="32" t="str">
        <f>IF(Fluxo_de_Caixa_Janeiro310201314[[#This Row],[% ACUMULADO  3º SEMEST 2026]]&lt;=Fluxo_de_Caixa_Janeiro310201314[[#This Row],[Coluna1]],"VERDADEIRO","FALSO")</f>
        <v>FALSO</v>
      </c>
    </row>
    <row r="123" spans="2:18" ht="15.75" thickBot="1" x14ac:dyDescent="0.3">
      <c r="B123" s="55" t="str">
        <f>Fluxo_de_Caixa_Janeiro[[#This Row],[Fluxo de Caixa 2026 CTR]]</f>
        <v>3.2.23. Decimo Terceiro Integral</v>
      </c>
      <c r="C123" s="35"/>
      <c r="D123" s="62"/>
      <c r="E123" s="62"/>
      <c r="F123" s="62"/>
      <c r="G123" s="62"/>
      <c r="H123" s="62"/>
      <c r="I123" s="35">
        <f>Fluxo_de_Caixa_Janeiro3459117[[#This Row],[JULHO]]</f>
        <v>0</v>
      </c>
      <c r="J123" s="62">
        <f>Fluxo_de_Caixa_Janeiro345911710[[#This Row],[AGOSTO]]</f>
        <v>0</v>
      </c>
      <c r="K123" s="62">
        <f>Fluxo_de_Caixa_Janeiro34591171012[[#This Row],[SETEMBRO]]</f>
        <v>0</v>
      </c>
      <c r="L123" s="62"/>
      <c r="M123" s="62"/>
      <c r="N123" s="119"/>
      <c r="O123" s="224">
        <f>SUM(Fluxo_de_Caixa_Janeiro310201314[[#This Row],[Janeiro]:[Dezembro]])</f>
        <v>0</v>
      </c>
      <c r="P123" s="194" t="str">
        <f t="shared" si="7"/>
        <v>0,00%</v>
      </c>
      <c r="Q123" s="75"/>
      <c r="R123" s="32" t="str">
        <f>IF(Fluxo_de_Caixa_Janeiro310201314[[#This Row],[% ACUMULADO  3º SEMEST 2026]]&lt;=Fluxo_de_Caixa_Janeiro310201314[[#This Row],[Coluna1]],"VERDADEIRO","FALSO")</f>
        <v>FALSO</v>
      </c>
    </row>
    <row r="124" spans="2:18" ht="15.75" hidden="1" thickBot="1" x14ac:dyDescent="0.3">
      <c r="B124" s="378">
        <f>Fluxo_de_Caixa_Janeiro[[#This Row],[Fluxo de Caixa 2026 CTR]]</f>
        <v>0</v>
      </c>
      <c r="C124" s="357"/>
      <c r="D124" s="306"/>
      <c r="E124" s="306"/>
      <c r="F124" s="306"/>
      <c r="G124" s="306"/>
      <c r="H124" s="306"/>
      <c r="I124" s="357">
        <f>Fluxo_de_Caixa_Janeiro3459117[[#This Row],[JULHO]]</f>
        <v>0</v>
      </c>
      <c r="J124" s="306">
        <f>Fluxo_de_Caixa_Janeiro345911710[[#This Row],[AGOSTO]]</f>
        <v>0</v>
      </c>
      <c r="K124" s="306">
        <f>Fluxo_de_Caixa_Janeiro34591171012[[#This Row],[SETEMBRO]]</f>
        <v>0</v>
      </c>
      <c r="L124" s="306"/>
      <c r="M124" s="306"/>
      <c r="N124" s="360"/>
      <c r="O124" s="396">
        <f>SUM(Fluxo_de_Caixa_Janeiro310201314[[#This Row],[Janeiro]:[Dezembro]])</f>
        <v>0</v>
      </c>
      <c r="P124" s="194" t="str">
        <f t="shared" si="7"/>
        <v>0,00%</v>
      </c>
      <c r="Q124" s="75"/>
      <c r="R124" s="32"/>
    </row>
    <row r="125" spans="2:18" ht="15.75" hidden="1" thickBot="1" x14ac:dyDescent="0.3">
      <c r="B125" s="385">
        <f>Fluxo_de_Caixa_Janeiro[[#This Row],[Fluxo de Caixa 2026 CTR]]</f>
        <v>0</v>
      </c>
      <c r="C125" s="357"/>
      <c r="D125" s="306"/>
      <c r="E125" s="306"/>
      <c r="F125" s="306"/>
      <c r="G125" s="306"/>
      <c r="H125" s="306"/>
      <c r="I125" s="357">
        <f>Fluxo_de_Caixa_Janeiro3459117[[#This Row],[JULHO]]</f>
        <v>0</v>
      </c>
      <c r="J125" s="306">
        <f>Fluxo_de_Caixa_Janeiro345911710[[#This Row],[AGOSTO]]</f>
        <v>0</v>
      </c>
      <c r="K125" s="306">
        <f>Fluxo_de_Caixa_Janeiro34591171012[[#This Row],[SETEMBRO]]</f>
        <v>0</v>
      </c>
      <c r="L125" s="306"/>
      <c r="M125" s="306"/>
      <c r="N125" s="360"/>
      <c r="O125" s="396">
        <f>SUM(Fluxo_de_Caixa_Janeiro310201314[[#This Row],[Janeiro]:[Dezembro]])</f>
        <v>0</v>
      </c>
      <c r="P125" s="194" t="str">
        <f t="shared" si="7"/>
        <v>0,00%</v>
      </c>
      <c r="Q125" s="75"/>
      <c r="R125" s="32"/>
    </row>
    <row r="126" spans="2:18" ht="15.75" hidden="1" thickBot="1" x14ac:dyDescent="0.3">
      <c r="B126" s="378">
        <f>Fluxo_de_Caixa_Janeiro[[#This Row],[Fluxo de Caixa 2026 CTR]]</f>
        <v>0</v>
      </c>
      <c r="C126" s="358"/>
      <c r="D126" s="359"/>
      <c r="E126" s="359"/>
      <c r="F126" s="359"/>
      <c r="G126" s="359"/>
      <c r="H126" s="359"/>
      <c r="I126" s="358">
        <f>Fluxo_de_Caixa_Janeiro3459117[[#This Row],[JULHO]]</f>
        <v>0</v>
      </c>
      <c r="J126" s="359">
        <f>Fluxo_de_Caixa_Janeiro345911710[[#This Row],[AGOSTO]]</f>
        <v>0</v>
      </c>
      <c r="K126" s="359">
        <f>Fluxo_de_Caixa_Janeiro34591171012[[#This Row],[SETEMBRO]]</f>
        <v>0</v>
      </c>
      <c r="L126" s="359"/>
      <c r="M126" s="359"/>
      <c r="N126" s="361"/>
      <c r="O126" s="396">
        <f>SUM(Fluxo_de_Caixa_Janeiro310201314[[#This Row],[Janeiro]:[Dezembro]])</f>
        <v>0</v>
      </c>
      <c r="P126" s="194" t="str">
        <f t="shared" si="7"/>
        <v>0,00%</v>
      </c>
      <c r="Q126" s="75"/>
      <c r="R126" s="32"/>
    </row>
    <row r="127" spans="2:18" ht="15.75" hidden="1" thickBot="1" x14ac:dyDescent="0.3">
      <c r="B127" s="385">
        <f>Fluxo_de_Caixa_Janeiro[[#This Row],[Fluxo de Caixa 2026 CTR]]</f>
        <v>0</v>
      </c>
      <c r="C127" s="358"/>
      <c r="D127" s="359"/>
      <c r="E127" s="359"/>
      <c r="F127" s="359"/>
      <c r="G127" s="359"/>
      <c r="H127" s="359"/>
      <c r="I127" s="358">
        <f>Fluxo_de_Caixa_Janeiro3459117[[#This Row],[JULHO]]</f>
        <v>0</v>
      </c>
      <c r="J127" s="359">
        <f>Fluxo_de_Caixa_Janeiro345911710[[#This Row],[AGOSTO]]</f>
        <v>0</v>
      </c>
      <c r="K127" s="359">
        <f>Fluxo_de_Caixa_Janeiro34591171012[[#This Row],[SETEMBRO]]</f>
        <v>0</v>
      </c>
      <c r="L127" s="359"/>
      <c r="M127" s="359"/>
      <c r="N127" s="361"/>
      <c r="O127" s="396">
        <f>SUM(Fluxo_de_Caixa_Janeiro310201314[[#This Row],[Janeiro]:[Dezembro]])</f>
        <v>0</v>
      </c>
      <c r="P127" s="194" t="str">
        <f t="shared" si="7"/>
        <v>0,00%</v>
      </c>
      <c r="Q127" s="75"/>
      <c r="R127" s="32"/>
    </row>
    <row r="128" spans="2:18" ht="15.75" hidden="1" thickBot="1" x14ac:dyDescent="0.3">
      <c r="B128" s="55">
        <f>Fluxo_de_Caixa_Janeiro[[#This Row],[Fluxo de Caixa 2026 CTR]]</f>
        <v>0</v>
      </c>
      <c r="C128" s="35"/>
      <c r="D128" s="62"/>
      <c r="E128" s="62"/>
      <c r="F128" s="62"/>
      <c r="G128" s="62"/>
      <c r="H128" s="62"/>
      <c r="I128" s="35">
        <f>Fluxo_de_Caixa_Janeiro3459117[[#This Row],[JULHO]]</f>
        <v>0</v>
      </c>
      <c r="J128" s="62">
        <f>Fluxo_de_Caixa_Janeiro345911710[[#This Row],[AGOSTO]]</f>
        <v>0</v>
      </c>
      <c r="K128" s="62">
        <f>Fluxo_de_Caixa_Janeiro34591171012[[#This Row],[SETEMBRO]]</f>
        <v>0</v>
      </c>
      <c r="L128" s="62"/>
      <c r="M128" s="62"/>
      <c r="N128" s="119"/>
      <c r="O128" s="224">
        <f>SUM(Fluxo_de_Caixa_Janeiro310201314[[#This Row],[Janeiro]:[Dezembro]])</f>
        <v>0</v>
      </c>
      <c r="P128" s="194" t="str">
        <f t="shared" si="7"/>
        <v>0,00%</v>
      </c>
      <c r="Q128" s="75"/>
      <c r="R128" s="32" t="str">
        <f>IF(Fluxo_de_Caixa_Janeiro310201314[[#This Row],[% ACUMULADO  3º SEMEST 2026]]&lt;=Fluxo_de_Caixa_Janeiro310201314[[#This Row],[Coluna1]],"VERDADEIRO","FALSO")</f>
        <v>FALSO</v>
      </c>
    </row>
    <row r="129" spans="1:18" ht="15.75" hidden="1" thickBot="1" x14ac:dyDescent="0.3">
      <c r="B129" s="55">
        <f>Fluxo_de_Caixa_Janeiro[[#This Row],[Fluxo de Caixa 2026 CTR]]</f>
        <v>0</v>
      </c>
      <c r="C129" s="35"/>
      <c r="D129" s="62"/>
      <c r="E129" s="62"/>
      <c r="F129" s="62"/>
      <c r="G129" s="62"/>
      <c r="H129" s="62"/>
      <c r="I129" s="35">
        <f>Fluxo_de_Caixa_Janeiro3459117[[#This Row],[JULHO]]</f>
        <v>0</v>
      </c>
      <c r="J129" s="62">
        <f>Fluxo_de_Caixa_Janeiro345911710[[#This Row],[AGOSTO]]</f>
        <v>0</v>
      </c>
      <c r="K129" s="62">
        <f>Fluxo_de_Caixa_Janeiro34591171012[[#This Row],[SETEMBRO]]</f>
        <v>0</v>
      </c>
      <c r="L129" s="62"/>
      <c r="M129" s="62"/>
      <c r="N129" s="119"/>
      <c r="O129" s="224">
        <f>SUM(Fluxo_de_Caixa_Janeiro310201314[[#This Row],[Janeiro]:[Dezembro]])</f>
        <v>0</v>
      </c>
      <c r="P129" s="194" t="str">
        <f t="shared" si="7"/>
        <v>0,00%</v>
      </c>
      <c r="Q129" s="75"/>
      <c r="R129" s="32" t="str">
        <f>IF(Fluxo_de_Caixa_Janeiro310201314[[#This Row],[% ACUMULADO  3º SEMEST 2026]]&lt;=Fluxo_de_Caixa_Janeiro310201314[[#This Row],[Coluna1]],"VERDADEIRO","FALSO")</f>
        <v>FALSO</v>
      </c>
    </row>
    <row r="130" spans="1:18" ht="15.75" hidden="1" thickBot="1" x14ac:dyDescent="0.3">
      <c r="B130" s="276">
        <f>Fluxo_de_Caixa_Janeiro[[#This Row],[Fluxo de Caixa 2026 CTR]]</f>
        <v>0</v>
      </c>
      <c r="C130" s="36"/>
      <c r="D130" s="82"/>
      <c r="E130" s="82"/>
      <c r="F130" s="82"/>
      <c r="G130" s="82"/>
      <c r="H130" s="82"/>
      <c r="I130" s="36">
        <f>Fluxo_de_Caixa_Janeiro3459117[[#This Row],[JULHO]]</f>
        <v>0</v>
      </c>
      <c r="J130" s="82">
        <f>Fluxo_de_Caixa_Janeiro345911710[[#This Row],[AGOSTO]]</f>
        <v>0</v>
      </c>
      <c r="K130" s="82">
        <f>Fluxo_de_Caixa_Janeiro34591171012[[#This Row],[SETEMBRO]]</f>
        <v>0</v>
      </c>
      <c r="L130" s="82"/>
      <c r="M130" s="82"/>
      <c r="N130" s="120"/>
      <c r="O130" s="225">
        <f>SUM(Fluxo_de_Caixa_Janeiro310201314[[#This Row],[Janeiro]:[Dezembro]])</f>
        <v>0</v>
      </c>
      <c r="P130" s="195" t="str">
        <f t="shared" si="7"/>
        <v>0,00%</v>
      </c>
      <c r="Q130" s="96"/>
      <c r="R130" s="32" t="str">
        <f>IF(Fluxo_de_Caixa_Janeiro310201314[[#This Row],[% ACUMULADO  3º SEMEST 2026]]&lt;=Fluxo_de_Caixa_Janeiro310201314[[#This Row],[Coluna1]],"VERDADEIRO","FALSO")</f>
        <v>FALSO</v>
      </c>
    </row>
    <row r="131" spans="1:18" ht="19.5" thickBot="1" x14ac:dyDescent="0.35">
      <c r="A131" s="16" t="s">
        <v>5</v>
      </c>
      <c r="B131" s="277" t="str">
        <f>Fluxo_de_Caixa_Janeiro[[#This Row],[Fluxo de Caixa 2026 CTR]]</f>
        <v>3.3. DESPESAS INFORMATICA</v>
      </c>
      <c r="C131" s="158"/>
      <c r="D131" s="97"/>
      <c r="E131" s="97"/>
      <c r="F131" s="97"/>
      <c r="G131" s="97"/>
      <c r="H131" s="97"/>
      <c r="I131" s="158">
        <f>Fluxo_de_Caixa_Janeiro3459117[[#This Row],[JULHO]]</f>
        <v>0</v>
      </c>
      <c r="J131" s="97">
        <f>Fluxo_de_Caixa_Janeiro345911710[[#This Row],[AGOSTO]]</f>
        <v>0</v>
      </c>
      <c r="K131" s="97">
        <f>Fluxo_de_Caixa_Janeiro34591171012[[#This Row],[SETEMBRO]]</f>
        <v>0</v>
      </c>
      <c r="L131" s="97"/>
      <c r="M131" s="97"/>
      <c r="N131" s="129"/>
      <c r="O131" s="226">
        <f>SUM(Fluxo_de_Caixa_Janeiro310201314[[#This Row],[Janeiro]:[Dezembro]])</f>
        <v>0</v>
      </c>
      <c r="P131" s="144">
        <f>-IFERROR(O131/$O$27,"0,00")</f>
        <v>0</v>
      </c>
      <c r="Q131" s="98"/>
      <c r="R131" s="32" t="str">
        <f>IF(Fluxo_de_Caixa_Janeiro310201314[[#This Row],[% ACUMULADO  3º SEMEST 2026]]&lt;=Fluxo_de_Caixa_Janeiro310201314[[#This Row],[Coluna1]],"VERDADEIRO","FALSO")</f>
        <v>VERDADEIRO</v>
      </c>
    </row>
    <row r="132" spans="1:18" x14ac:dyDescent="0.25">
      <c r="B132" s="169" t="str">
        <f>Fluxo_de_Caixa_Janeiro[[#This Row],[Fluxo de Caixa 2026 CTR]]</f>
        <v>3.3.01. Aquisição Equipamento Informa. Não Imobilizavel</v>
      </c>
      <c r="C132" s="41"/>
      <c r="D132" s="81"/>
      <c r="E132" s="81"/>
      <c r="F132" s="81"/>
      <c r="G132" s="81"/>
      <c r="H132" s="81"/>
      <c r="I132" s="41">
        <f>Fluxo_de_Caixa_Janeiro3459117[[#This Row],[JULHO]]</f>
        <v>0</v>
      </c>
      <c r="J132" s="81">
        <f>Fluxo_de_Caixa_Janeiro345911710[[#This Row],[AGOSTO]]</f>
        <v>0</v>
      </c>
      <c r="K132" s="81">
        <f>Fluxo_de_Caixa_Janeiro34591171012[[#This Row],[SETEMBRO]]</f>
        <v>0</v>
      </c>
      <c r="L132" s="81"/>
      <c r="M132" s="81"/>
      <c r="N132" s="118"/>
      <c r="O132" s="223">
        <f>SUM(Fluxo_de_Caixa_Janeiro310201314[[#This Row],[Janeiro]:[Dezembro]])</f>
        <v>0</v>
      </c>
      <c r="P132" s="193" t="str">
        <f t="shared" ref="P132:P144" si="8">IFERROR(O132/$O$27,"0,00%")</f>
        <v>0,00%</v>
      </c>
      <c r="Q132" s="93"/>
      <c r="R132" s="32" t="str">
        <f>IF(Fluxo_de_Caixa_Janeiro310201314[[#This Row],[% ACUMULADO  3º SEMEST 2026]]&lt;=Fluxo_de_Caixa_Janeiro310201314[[#This Row],[Coluna1]],"VERDADEIRO","FALSO")</f>
        <v>FALSO</v>
      </c>
    </row>
    <row r="133" spans="1:18" hidden="1" x14ac:dyDescent="0.25">
      <c r="B133" s="55">
        <f>Fluxo_de_Caixa_Janeiro[[#This Row],[Fluxo de Caixa 2026 CTR]]</f>
        <v>0</v>
      </c>
      <c r="C133" s="35"/>
      <c r="D133" s="62"/>
      <c r="E133" s="62"/>
      <c r="F133" s="62"/>
      <c r="G133" s="62"/>
      <c r="H133" s="62"/>
      <c r="I133" s="35">
        <f>Fluxo_de_Caixa_Janeiro3459117[[#This Row],[JULHO]]</f>
        <v>0</v>
      </c>
      <c r="J133" s="62">
        <f>Fluxo_de_Caixa_Janeiro345911710[[#This Row],[AGOSTO]]</f>
        <v>0</v>
      </c>
      <c r="K133" s="62">
        <f>Fluxo_de_Caixa_Janeiro34591171012[[#This Row],[SETEMBRO]]</f>
        <v>0</v>
      </c>
      <c r="L133" s="62"/>
      <c r="M133" s="62"/>
      <c r="N133" s="119"/>
      <c r="O133" s="224">
        <f>SUM(Fluxo_de_Caixa_Janeiro310201314[[#This Row],[Janeiro]:[Dezembro]])</f>
        <v>0</v>
      </c>
      <c r="P133" s="194" t="str">
        <f t="shared" si="8"/>
        <v>0,00%</v>
      </c>
      <c r="Q133" s="75"/>
      <c r="R133" s="32" t="str">
        <f>IF(Fluxo_de_Caixa_Janeiro310201314[[#This Row],[% ACUMULADO  3º SEMEST 2026]]&lt;=Fluxo_de_Caixa_Janeiro310201314[[#This Row],[Coluna1]],"VERDADEIRO","FALSO")</f>
        <v>FALSO</v>
      </c>
    </row>
    <row r="134" spans="1:18" x14ac:dyDescent="0.25">
      <c r="B134" s="55" t="str">
        <f>Fluxo_de_Caixa_Janeiro[[#This Row],[Fluxo de Caixa 2026 CTR]]</f>
        <v>3.3.03. Consultoria de TI</v>
      </c>
      <c r="C134" s="35"/>
      <c r="D134" s="62"/>
      <c r="E134" s="62"/>
      <c r="F134" s="62"/>
      <c r="G134" s="62"/>
      <c r="H134" s="62"/>
      <c r="I134" s="35">
        <f>Fluxo_de_Caixa_Janeiro3459117[[#This Row],[JULHO]]</f>
        <v>0</v>
      </c>
      <c r="J134" s="62">
        <f>Fluxo_de_Caixa_Janeiro345911710[[#This Row],[AGOSTO]]</f>
        <v>0</v>
      </c>
      <c r="K134" s="62">
        <f>Fluxo_de_Caixa_Janeiro34591171012[[#This Row],[SETEMBRO]]</f>
        <v>0</v>
      </c>
      <c r="L134" s="62"/>
      <c r="M134" s="62"/>
      <c r="N134" s="119"/>
      <c r="O134" s="224">
        <f>SUM(Fluxo_de_Caixa_Janeiro310201314[[#This Row],[Janeiro]:[Dezembro]])</f>
        <v>0</v>
      </c>
      <c r="P134" s="194" t="str">
        <f t="shared" si="8"/>
        <v>0,00%</v>
      </c>
      <c r="Q134" s="75"/>
      <c r="R134" s="32" t="str">
        <f>IF(Fluxo_de_Caixa_Janeiro310201314[[#This Row],[% ACUMULADO  3º SEMEST 2026]]&lt;=Fluxo_de_Caixa_Janeiro310201314[[#This Row],[Coluna1]],"VERDADEIRO","FALSO")</f>
        <v>FALSO</v>
      </c>
    </row>
    <row r="135" spans="1:18" x14ac:dyDescent="0.25">
      <c r="B135" s="55" t="str">
        <f>Fluxo_de_Caixa_Janeiro[[#This Row],[Fluxo de Caixa 2026 CTR]]</f>
        <v>3.3.04. Mensalidade Programa de Tecnologia Informatica</v>
      </c>
      <c r="C135" s="35"/>
      <c r="D135" s="62"/>
      <c r="E135" s="62"/>
      <c r="F135" s="62"/>
      <c r="G135" s="62"/>
      <c r="H135" s="62"/>
      <c r="I135" s="35">
        <f>Fluxo_de_Caixa_Janeiro3459117[[#This Row],[JULHO]]</f>
        <v>0</v>
      </c>
      <c r="J135" s="62">
        <f>Fluxo_de_Caixa_Janeiro345911710[[#This Row],[AGOSTO]]</f>
        <v>0</v>
      </c>
      <c r="K135" s="62">
        <f>Fluxo_de_Caixa_Janeiro34591171012[[#This Row],[SETEMBRO]]</f>
        <v>0</v>
      </c>
      <c r="L135" s="62"/>
      <c r="M135" s="62"/>
      <c r="N135" s="119"/>
      <c r="O135" s="224">
        <f>SUM(Fluxo_de_Caixa_Janeiro310201314[[#This Row],[Janeiro]:[Dezembro]])</f>
        <v>0</v>
      </c>
      <c r="P135" s="194" t="str">
        <f t="shared" si="8"/>
        <v>0,00%</v>
      </c>
      <c r="Q135" s="75"/>
      <c r="R135" s="32" t="str">
        <f>IF(Fluxo_de_Caixa_Janeiro310201314[[#This Row],[% ACUMULADO  3º SEMEST 2026]]&lt;=Fluxo_de_Caixa_Janeiro310201314[[#This Row],[Coluna1]],"VERDADEIRO","FALSO")</f>
        <v>FALSO</v>
      </c>
    </row>
    <row r="136" spans="1:18" x14ac:dyDescent="0.25">
      <c r="B136" s="55" t="str">
        <f>Fluxo_de_Caixa_Janeiro[[#This Row],[Fluxo de Caixa 2026 CTR]]</f>
        <v>3.3.05. MANUT E REPAROS EM EQUIPAME. INFORMATI</v>
      </c>
      <c r="C136" s="35"/>
      <c r="D136" s="62"/>
      <c r="E136" s="62"/>
      <c r="F136" s="62"/>
      <c r="G136" s="62"/>
      <c r="H136" s="62"/>
      <c r="I136" s="35">
        <f>Fluxo_de_Caixa_Janeiro3459117[[#This Row],[JULHO]]</f>
        <v>0</v>
      </c>
      <c r="J136" s="62">
        <f>Fluxo_de_Caixa_Janeiro345911710[[#This Row],[AGOSTO]]</f>
        <v>0</v>
      </c>
      <c r="K136" s="62">
        <f>Fluxo_de_Caixa_Janeiro34591171012[[#This Row],[SETEMBRO]]</f>
        <v>0</v>
      </c>
      <c r="L136" s="62"/>
      <c r="M136" s="62"/>
      <c r="N136" s="119"/>
      <c r="O136" s="224">
        <f>SUM(Fluxo_de_Caixa_Janeiro310201314[[#This Row],[Janeiro]:[Dezembro]])</f>
        <v>0</v>
      </c>
      <c r="P136" s="194" t="str">
        <f t="shared" si="8"/>
        <v>0,00%</v>
      </c>
      <c r="Q136" s="75"/>
      <c r="R136" s="32" t="str">
        <f>IF(Fluxo_de_Caixa_Janeiro310201314[[#This Row],[% ACUMULADO  3º SEMEST 2026]]&lt;=Fluxo_de_Caixa_Janeiro310201314[[#This Row],[Coluna1]],"VERDADEIRO","FALSO")</f>
        <v>FALSO</v>
      </c>
    </row>
    <row r="137" spans="1:18" x14ac:dyDescent="0.25">
      <c r="B137" s="55" t="str">
        <f>Fluxo_de_Caixa_Janeiro[[#This Row],[Fluxo de Caixa 2026 CTR]]</f>
        <v>3.3.06. Manutenção Sitemas e Softwares</v>
      </c>
      <c r="C137" s="35"/>
      <c r="D137" s="62"/>
      <c r="E137" s="62"/>
      <c r="F137" s="62"/>
      <c r="G137" s="62"/>
      <c r="H137" s="62"/>
      <c r="I137" s="35">
        <f>Fluxo_de_Caixa_Janeiro3459117[[#This Row],[JULHO]]</f>
        <v>0</v>
      </c>
      <c r="J137" s="62">
        <f>Fluxo_de_Caixa_Janeiro345911710[[#This Row],[AGOSTO]]</f>
        <v>0</v>
      </c>
      <c r="K137" s="62">
        <f>Fluxo_de_Caixa_Janeiro34591171012[[#This Row],[SETEMBRO]]</f>
        <v>0</v>
      </c>
      <c r="L137" s="62"/>
      <c r="M137" s="62"/>
      <c r="N137" s="119"/>
      <c r="O137" s="224">
        <f>SUM(Fluxo_de_Caixa_Janeiro310201314[[#This Row],[Janeiro]:[Dezembro]])</f>
        <v>0</v>
      </c>
      <c r="P137" s="194" t="str">
        <f t="shared" si="8"/>
        <v>0,00%</v>
      </c>
      <c r="Q137" s="75"/>
      <c r="R137" s="32" t="str">
        <f>IF(Fluxo_de_Caixa_Janeiro310201314[[#This Row],[% ACUMULADO  3º SEMEST 2026]]&lt;=Fluxo_de_Caixa_Janeiro310201314[[#This Row],[Coluna1]],"VERDADEIRO","FALSO")</f>
        <v>FALSO</v>
      </c>
    </row>
    <row r="138" spans="1:18" x14ac:dyDescent="0.25">
      <c r="B138" s="55" t="str">
        <f>Fluxo_de_Caixa_Janeiro[[#This Row],[Fluxo de Caixa 2026 CTR]]</f>
        <v>3.3.07. Locação Equipamento Informatica</v>
      </c>
      <c r="C138" s="35"/>
      <c r="D138" s="62"/>
      <c r="E138" s="62"/>
      <c r="F138" s="62"/>
      <c r="G138" s="62"/>
      <c r="H138" s="62"/>
      <c r="I138" s="35">
        <f>Fluxo_de_Caixa_Janeiro3459117[[#This Row],[JULHO]]</f>
        <v>0</v>
      </c>
      <c r="J138" s="62">
        <f>Fluxo_de_Caixa_Janeiro345911710[[#This Row],[AGOSTO]]</f>
        <v>0</v>
      </c>
      <c r="K138" s="62">
        <f>Fluxo_de_Caixa_Janeiro34591171012[[#This Row],[SETEMBRO]]</f>
        <v>0</v>
      </c>
      <c r="L138" s="62"/>
      <c r="M138" s="62"/>
      <c r="N138" s="119"/>
      <c r="O138" s="224">
        <f>SUM(Fluxo_de_Caixa_Janeiro310201314[[#This Row],[Janeiro]:[Dezembro]])</f>
        <v>0</v>
      </c>
      <c r="P138" s="194" t="str">
        <f t="shared" si="8"/>
        <v>0,00%</v>
      </c>
      <c r="Q138" s="75"/>
      <c r="R138" s="32" t="str">
        <f>IF(Fluxo_de_Caixa_Janeiro310201314[[#This Row],[% ACUMULADO  3º SEMEST 2026]]&lt;=Fluxo_de_Caixa_Janeiro310201314[[#This Row],[Coluna1]],"VERDADEIRO","FALSO")</f>
        <v>FALSO</v>
      </c>
    </row>
    <row r="139" spans="1:18" ht="15.75" thickBot="1" x14ac:dyDescent="0.3">
      <c r="B139" s="55" t="str">
        <f>Fluxo_de_Caixa_Janeiro[[#This Row],[Fluxo de Caixa 2026 CTR]]</f>
        <v>3.3.08. Transmissão de Dados Servidor</v>
      </c>
      <c r="C139" s="35"/>
      <c r="D139" s="62"/>
      <c r="E139" s="62"/>
      <c r="F139" s="62"/>
      <c r="G139" s="62"/>
      <c r="H139" s="62"/>
      <c r="I139" s="35">
        <f>Fluxo_de_Caixa_Janeiro3459117[[#This Row],[JULHO]]</f>
        <v>0</v>
      </c>
      <c r="J139" s="62">
        <f>Fluxo_de_Caixa_Janeiro345911710[[#This Row],[AGOSTO]]</f>
        <v>0</v>
      </c>
      <c r="K139" s="62">
        <f>Fluxo_de_Caixa_Janeiro34591171012[[#This Row],[SETEMBRO]]</f>
        <v>0</v>
      </c>
      <c r="L139" s="62"/>
      <c r="M139" s="62"/>
      <c r="N139" s="119"/>
      <c r="O139" s="224">
        <f>SUM(Fluxo_de_Caixa_Janeiro310201314[[#This Row],[Janeiro]:[Dezembro]])</f>
        <v>0</v>
      </c>
      <c r="P139" s="194" t="str">
        <f t="shared" si="8"/>
        <v>0,00%</v>
      </c>
      <c r="Q139" s="75"/>
      <c r="R139" s="32" t="str">
        <f>IF(Fluxo_de_Caixa_Janeiro310201314[[#This Row],[% ACUMULADO  3º SEMEST 2026]]&lt;=Fluxo_de_Caixa_Janeiro310201314[[#This Row],[Coluna1]],"VERDADEIRO","FALSO")</f>
        <v>FALSO</v>
      </c>
    </row>
    <row r="140" spans="1:18" ht="15.75" hidden="1" thickBot="1" x14ac:dyDescent="0.3">
      <c r="B140" s="55" t="str">
        <f>Fluxo_de_Caixa_Janeiro[[#This Row],[Fluxo de Caixa 2026 CTR]]</f>
        <v>3.3.09. Viagens e Estadias - CPD</v>
      </c>
      <c r="C140" s="35"/>
      <c r="D140" s="62"/>
      <c r="E140" s="62"/>
      <c r="F140" s="62"/>
      <c r="G140" s="62"/>
      <c r="H140" s="62"/>
      <c r="I140" s="35">
        <f>Fluxo_de_Caixa_Janeiro3459117[[#This Row],[JULHO]]</f>
        <v>0</v>
      </c>
      <c r="J140" s="62">
        <f>Fluxo_de_Caixa_Janeiro345911710[[#This Row],[AGOSTO]]</f>
        <v>0</v>
      </c>
      <c r="K140" s="62">
        <f>Fluxo_de_Caixa_Janeiro34591171012[[#This Row],[SETEMBRO]]</f>
        <v>0</v>
      </c>
      <c r="L140" s="62"/>
      <c r="M140" s="62"/>
      <c r="N140" s="119"/>
      <c r="O140" s="224">
        <f>SUM(Fluxo_de_Caixa_Janeiro310201314[[#This Row],[Janeiro]:[Dezembro]])</f>
        <v>0</v>
      </c>
      <c r="P140" s="194" t="str">
        <f t="shared" si="8"/>
        <v>0,00%</v>
      </c>
      <c r="Q140" s="75"/>
      <c r="R140" s="32" t="str">
        <f>IF(Fluxo_de_Caixa_Janeiro310201314[[#This Row],[% ACUMULADO  3º SEMEST 2026]]&lt;=Fluxo_de_Caixa_Janeiro310201314[[#This Row],[Coluna1]],"VERDADEIRO","FALSO")</f>
        <v>FALSO</v>
      </c>
    </row>
    <row r="141" spans="1:18" ht="15.75" hidden="1" thickBot="1" x14ac:dyDescent="0.3">
      <c r="B141" s="55">
        <f>Fluxo_de_Caixa_Janeiro[[#This Row],[Fluxo de Caixa 2026 CTR]]</f>
        <v>0</v>
      </c>
      <c r="C141" s="35"/>
      <c r="D141" s="62"/>
      <c r="E141" s="62"/>
      <c r="F141" s="62"/>
      <c r="G141" s="62"/>
      <c r="H141" s="62"/>
      <c r="I141" s="35">
        <f>Fluxo_de_Caixa_Janeiro3459117[[#This Row],[JULHO]]</f>
        <v>0</v>
      </c>
      <c r="J141" s="62">
        <f>Fluxo_de_Caixa_Janeiro345911710[[#This Row],[AGOSTO]]</f>
        <v>0</v>
      </c>
      <c r="K141" s="62">
        <f>Fluxo_de_Caixa_Janeiro34591171012[[#This Row],[SETEMBRO]]</f>
        <v>0</v>
      </c>
      <c r="L141" s="62"/>
      <c r="M141" s="62"/>
      <c r="N141" s="119"/>
      <c r="O141" s="224">
        <f>SUM(Fluxo_de_Caixa_Janeiro310201314[[#This Row],[Janeiro]:[Dezembro]])</f>
        <v>0</v>
      </c>
      <c r="P141" s="194" t="str">
        <f t="shared" si="8"/>
        <v>0,00%</v>
      </c>
      <c r="Q141" s="75"/>
      <c r="R141" s="32" t="str">
        <f>IF(Fluxo_de_Caixa_Janeiro310201314[[#This Row],[% ACUMULADO  3º SEMEST 2026]]&lt;=Fluxo_de_Caixa_Janeiro310201314[[#This Row],[Coluna1]],"VERDADEIRO","FALSO")</f>
        <v>FALSO</v>
      </c>
    </row>
    <row r="142" spans="1:18" ht="15.75" hidden="1" thickBot="1" x14ac:dyDescent="0.3">
      <c r="B142" s="55">
        <f>Fluxo_de_Caixa_Janeiro[[#This Row],[Fluxo de Caixa 2026 CTR]]</f>
        <v>0</v>
      </c>
      <c r="C142" s="35"/>
      <c r="D142" s="62"/>
      <c r="E142" s="62"/>
      <c r="F142" s="62"/>
      <c r="G142" s="62"/>
      <c r="H142" s="62"/>
      <c r="I142" s="35">
        <f>Fluxo_de_Caixa_Janeiro3459117[[#This Row],[JULHO]]</f>
        <v>0</v>
      </c>
      <c r="J142" s="62">
        <f>Fluxo_de_Caixa_Janeiro345911710[[#This Row],[AGOSTO]]</f>
        <v>0</v>
      </c>
      <c r="K142" s="62">
        <f>Fluxo_de_Caixa_Janeiro34591171012[[#This Row],[SETEMBRO]]</f>
        <v>0</v>
      </c>
      <c r="L142" s="62"/>
      <c r="M142" s="62"/>
      <c r="N142" s="119"/>
      <c r="O142" s="224">
        <f>SUM(Fluxo_de_Caixa_Janeiro310201314[[#This Row],[Janeiro]:[Dezembro]])</f>
        <v>0</v>
      </c>
      <c r="P142" s="194" t="str">
        <f t="shared" si="8"/>
        <v>0,00%</v>
      </c>
      <c r="Q142" s="75"/>
      <c r="R142" s="32" t="str">
        <f>IF(Fluxo_de_Caixa_Janeiro310201314[[#This Row],[% ACUMULADO  3º SEMEST 2026]]&lt;=Fluxo_de_Caixa_Janeiro310201314[[#This Row],[Coluna1]],"VERDADEIRO","FALSO")</f>
        <v>FALSO</v>
      </c>
    </row>
    <row r="143" spans="1:18" ht="15.75" hidden="1" thickBot="1" x14ac:dyDescent="0.3">
      <c r="B143" s="55">
        <f>Fluxo_de_Caixa_Janeiro[[#This Row],[Fluxo de Caixa 2026 CTR]]</f>
        <v>0</v>
      </c>
      <c r="C143" s="35"/>
      <c r="D143" s="62"/>
      <c r="E143" s="62"/>
      <c r="F143" s="62"/>
      <c r="G143" s="62"/>
      <c r="H143" s="62"/>
      <c r="I143" s="35">
        <f>Fluxo_de_Caixa_Janeiro3459117[[#This Row],[JULHO]]</f>
        <v>0</v>
      </c>
      <c r="J143" s="62">
        <f>Fluxo_de_Caixa_Janeiro345911710[[#This Row],[AGOSTO]]</f>
        <v>0</v>
      </c>
      <c r="K143" s="62">
        <f>Fluxo_de_Caixa_Janeiro34591171012[[#This Row],[SETEMBRO]]</f>
        <v>0</v>
      </c>
      <c r="L143" s="62"/>
      <c r="M143" s="62"/>
      <c r="N143" s="119"/>
      <c r="O143" s="224">
        <f>SUM(Fluxo_de_Caixa_Janeiro310201314[[#This Row],[Janeiro]:[Dezembro]])</f>
        <v>0</v>
      </c>
      <c r="P143" s="194" t="str">
        <f t="shared" si="8"/>
        <v>0,00%</v>
      </c>
      <c r="Q143" s="75"/>
      <c r="R143" s="32" t="str">
        <f>IF(Fluxo_de_Caixa_Janeiro310201314[[#This Row],[% ACUMULADO  3º SEMEST 2026]]&lt;=Fluxo_de_Caixa_Janeiro310201314[[#This Row],[Coluna1]],"VERDADEIRO","FALSO")</f>
        <v>FALSO</v>
      </c>
    </row>
    <row r="144" spans="1:18" ht="15.75" hidden="1" thickBot="1" x14ac:dyDescent="0.3">
      <c r="B144" s="55">
        <f>Fluxo_de_Caixa_Janeiro[[#This Row],[Fluxo de Caixa 2026 CTR]]</f>
        <v>0</v>
      </c>
      <c r="C144" s="35"/>
      <c r="D144" s="62"/>
      <c r="E144" s="62"/>
      <c r="F144" s="62"/>
      <c r="G144" s="62"/>
      <c r="H144" s="62"/>
      <c r="I144" s="35">
        <f>Fluxo_de_Caixa_Janeiro3459117[[#This Row],[JULHO]]</f>
        <v>0</v>
      </c>
      <c r="J144" s="62">
        <f>Fluxo_de_Caixa_Janeiro345911710[[#This Row],[AGOSTO]]</f>
        <v>0</v>
      </c>
      <c r="K144" s="62">
        <f>Fluxo_de_Caixa_Janeiro34591171012[[#This Row],[SETEMBRO]]</f>
        <v>0</v>
      </c>
      <c r="L144" s="62"/>
      <c r="M144" s="62"/>
      <c r="N144" s="119"/>
      <c r="O144" s="224">
        <f>SUM(Fluxo_de_Caixa_Janeiro310201314[[#This Row],[Janeiro]:[Dezembro]])</f>
        <v>0</v>
      </c>
      <c r="P144" s="194" t="str">
        <f t="shared" si="8"/>
        <v>0,00%</v>
      </c>
      <c r="Q144" s="75"/>
      <c r="R144" s="32" t="str">
        <f>IF(Fluxo_de_Caixa_Janeiro310201314[[#This Row],[% ACUMULADO  3º SEMEST 2026]]&lt;=Fluxo_de_Caixa_Janeiro310201314[[#This Row],[Coluna1]],"VERDADEIRO","FALSO")</f>
        <v>FALSO</v>
      </c>
    </row>
    <row r="145" spans="2:18" ht="19.5" thickBot="1" x14ac:dyDescent="0.35">
      <c r="B145" s="277" t="str">
        <f>Fluxo_de_Caixa_Janeiro[[#This Row],[Fluxo de Caixa 2026 CTR]]</f>
        <v>3.4. ADMINISTRATIVAS</v>
      </c>
      <c r="C145" s="158"/>
      <c r="D145" s="97"/>
      <c r="E145" s="97"/>
      <c r="F145" s="97"/>
      <c r="G145" s="97"/>
      <c r="H145" s="97"/>
      <c r="I145" s="158">
        <f>Fluxo_de_Caixa_Janeiro3459117[[#This Row],[JULHO]]</f>
        <v>0</v>
      </c>
      <c r="J145" s="97">
        <f>Fluxo_de_Caixa_Janeiro345911710[[#This Row],[AGOSTO]]</f>
        <v>0</v>
      </c>
      <c r="K145" s="97">
        <f>Fluxo_de_Caixa_Janeiro34591171012[[#This Row],[SETEMBRO]]</f>
        <v>0</v>
      </c>
      <c r="L145" s="97"/>
      <c r="M145" s="97"/>
      <c r="N145" s="129"/>
      <c r="O145" s="226">
        <f>SUM(Fluxo_de_Caixa_Janeiro310201314[[#This Row],[Janeiro]:[Dezembro]])</f>
        <v>0</v>
      </c>
      <c r="P145" s="144">
        <f>-IFERROR(O145/$O$27,"0,00")</f>
        <v>0</v>
      </c>
      <c r="Q145" s="98"/>
      <c r="R145" s="32" t="str">
        <f>IF(Fluxo_de_Caixa_Janeiro310201314[[#This Row],[% ACUMULADO  3º SEMEST 2026]]&lt;=Fluxo_de_Caixa_Janeiro310201314[[#This Row],[Coluna1]],"VERDADEIRO","FALSO")</f>
        <v>VERDADEIRO</v>
      </c>
    </row>
    <row r="146" spans="2:18" x14ac:dyDescent="0.25">
      <c r="B146" s="55" t="str">
        <f>Fluxo_de_Caixa_Janeiro[[#This Row],[Fluxo de Caixa 2026 CTR]]</f>
        <v>3.4.01. Supermercado/Padaria/Farmácia</v>
      </c>
      <c r="C146" s="35"/>
      <c r="D146" s="62"/>
      <c r="E146" s="62"/>
      <c r="F146" s="62"/>
      <c r="G146" s="62"/>
      <c r="H146" s="62"/>
      <c r="I146" s="35">
        <f>Fluxo_de_Caixa_Janeiro3459117[[#This Row],[JULHO]]</f>
        <v>0</v>
      </c>
      <c r="J146" s="62">
        <f>Fluxo_de_Caixa_Janeiro345911710[[#This Row],[AGOSTO]]</f>
        <v>0</v>
      </c>
      <c r="K146" s="62">
        <f>Fluxo_de_Caixa_Janeiro34591171012[[#This Row],[SETEMBRO]]</f>
        <v>0</v>
      </c>
      <c r="L146" s="62"/>
      <c r="M146" s="62"/>
      <c r="N146" s="119"/>
      <c r="O146" s="224">
        <f>SUM(Fluxo_de_Caixa_Janeiro310201314[[#This Row],[Janeiro]:[Dezembro]])</f>
        <v>0</v>
      </c>
      <c r="P146" s="194" t="str">
        <f t="shared" ref="P146:P166" si="9">IFERROR(O146/$O$27,"0,00%")</f>
        <v>0,00%</v>
      </c>
      <c r="Q146" s="75"/>
      <c r="R146" s="32" t="str">
        <f>IF(Fluxo_de_Caixa_Janeiro310201314[[#This Row],[% ACUMULADO  3º SEMEST 2026]]&lt;=Fluxo_de_Caixa_Janeiro310201314[[#This Row],[Coluna1]],"VERDADEIRO","FALSO")</f>
        <v>FALSO</v>
      </c>
    </row>
    <row r="147" spans="2:18" x14ac:dyDescent="0.25">
      <c r="B147" s="55" t="str">
        <f>Fluxo_de_Caixa_Janeiro[[#This Row],[Fluxo de Caixa 2026 CTR]]</f>
        <v>3.4.02. Material Administrativo de Expediente</v>
      </c>
      <c r="C147" s="35"/>
      <c r="D147" s="62"/>
      <c r="E147" s="62"/>
      <c r="F147" s="62"/>
      <c r="G147" s="62"/>
      <c r="H147" s="62"/>
      <c r="I147" s="35">
        <f>Fluxo_de_Caixa_Janeiro3459117[[#This Row],[JULHO]]</f>
        <v>0</v>
      </c>
      <c r="J147" s="62">
        <f>Fluxo_de_Caixa_Janeiro345911710[[#This Row],[AGOSTO]]</f>
        <v>0</v>
      </c>
      <c r="K147" s="62">
        <f>Fluxo_de_Caixa_Janeiro34591171012[[#This Row],[SETEMBRO]]</f>
        <v>0</v>
      </c>
      <c r="L147" s="62"/>
      <c r="M147" s="62"/>
      <c r="N147" s="119"/>
      <c r="O147" s="224">
        <f>SUM(Fluxo_de_Caixa_Janeiro310201314[[#This Row],[Janeiro]:[Dezembro]])</f>
        <v>0</v>
      </c>
      <c r="P147" s="194" t="str">
        <f t="shared" si="9"/>
        <v>0,00%</v>
      </c>
      <c r="Q147" s="75"/>
      <c r="R147" s="32" t="str">
        <f>IF(Fluxo_de_Caixa_Janeiro310201314[[#This Row],[% ACUMULADO  3º SEMEST 2026]]&lt;=Fluxo_de_Caixa_Janeiro310201314[[#This Row],[Coluna1]],"VERDADEIRO","FALSO")</f>
        <v>FALSO</v>
      </c>
    </row>
    <row r="148" spans="2:18" x14ac:dyDescent="0.25">
      <c r="B148" s="55" t="str">
        <f>Fluxo_de_Caixa_Janeiro[[#This Row],[Fluxo de Caixa 2026 CTR]]</f>
        <v>3.4.03. Correios/Gollog/Latam Cargas</v>
      </c>
      <c r="C148" s="35"/>
      <c r="D148" s="62"/>
      <c r="E148" s="62"/>
      <c r="F148" s="62"/>
      <c r="G148" s="62"/>
      <c r="H148" s="62"/>
      <c r="I148" s="35">
        <f>Fluxo_de_Caixa_Janeiro3459117[[#This Row],[JULHO]]</f>
        <v>0</v>
      </c>
      <c r="J148" s="62">
        <f>Fluxo_de_Caixa_Janeiro345911710[[#This Row],[AGOSTO]]</f>
        <v>0</v>
      </c>
      <c r="K148" s="62">
        <f>Fluxo_de_Caixa_Janeiro34591171012[[#This Row],[SETEMBRO]]</f>
        <v>0</v>
      </c>
      <c r="L148" s="62"/>
      <c r="M148" s="62"/>
      <c r="N148" s="119"/>
      <c r="O148" s="224">
        <f>SUM(Fluxo_de_Caixa_Janeiro310201314[[#This Row],[Janeiro]:[Dezembro]])</f>
        <v>0</v>
      </c>
      <c r="P148" s="194" t="str">
        <f t="shared" si="9"/>
        <v>0,00%</v>
      </c>
      <c r="Q148" s="75"/>
      <c r="R148" s="32" t="str">
        <f>IF(Fluxo_de_Caixa_Janeiro310201314[[#This Row],[% ACUMULADO  3º SEMEST 2026]]&lt;=Fluxo_de_Caixa_Janeiro310201314[[#This Row],[Coluna1]],"VERDADEIRO","FALSO")</f>
        <v>FALSO</v>
      </c>
    </row>
    <row r="149" spans="2:18" x14ac:dyDescent="0.25">
      <c r="B149" s="55" t="str">
        <f>Fluxo_de_Caixa_Janeiro[[#This Row],[Fluxo de Caixa 2026 CTR]]</f>
        <v>3.4.04. Cartório</v>
      </c>
      <c r="C149" s="35"/>
      <c r="D149" s="62"/>
      <c r="E149" s="62"/>
      <c r="F149" s="62"/>
      <c r="G149" s="62"/>
      <c r="H149" s="62"/>
      <c r="I149" s="35">
        <f>Fluxo_de_Caixa_Janeiro3459117[[#This Row],[JULHO]]</f>
        <v>0</v>
      </c>
      <c r="J149" s="62">
        <f>Fluxo_de_Caixa_Janeiro345911710[[#This Row],[AGOSTO]]</f>
        <v>0</v>
      </c>
      <c r="K149" s="62">
        <f>Fluxo_de_Caixa_Janeiro34591171012[[#This Row],[SETEMBRO]]</f>
        <v>0</v>
      </c>
      <c r="L149" s="62"/>
      <c r="M149" s="62"/>
      <c r="N149" s="119"/>
      <c r="O149" s="224">
        <f>SUM(Fluxo_de_Caixa_Janeiro310201314[[#This Row],[Janeiro]:[Dezembro]])</f>
        <v>0</v>
      </c>
      <c r="P149" s="194" t="str">
        <f t="shared" si="9"/>
        <v>0,00%</v>
      </c>
      <c r="Q149" s="75"/>
      <c r="R149" s="32" t="str">
        <f>IF(Fluxo_de_Caixa_Janeiro310201314[[#This Row],[% ACUMULADO  3º SEMEST 2026]]&lt;=Fluxo_de_Caixa_Janeiro310201314[[#This Row],[Coluna1]],"VERDADEIRO","FALSO")</f>
        <v>FALSO</v>
      </c>
    </row>
    <row r="150" spans="2:18" hidden="1" x14ac:dyDescent="0.25">
      <c r="B150" s="55">
        <f>Fluxo_de_Caixa_Janeiro[[#This Row],[Fluxo de Caixa 2026 CTR]]</f>
        <v>0</v>
      </c>
      <c r="C150" s="35"/>
      <c r="D150" s="62"/>
      <c r="E150" s="62"/>
      <c r="F150" s="62"/>
      <c r="G150" s="62"/>
      <c r="H150" s="62"/>
      <c r="I150" s="35">
        <f>Fluxo_de_Caixa_Janeiro3459117[[#This Row],[JULHO]]</f>
        <v>0</v>
      </c>
      <c r="J150" s="62">
        <f>Fluxo_de_Caixa_Janeiro345911710[[#This Row],[AGOSTO]]</f>
        <v>0</v>
      </c>
      <c r="K150" s="62">
        <f>Fluxo_de_Caixa_Janeiro34591171012[[#This Row],[SETEMBRO]]</f>
        <v>0</v>
      </c>
      <c r="L150" s="62"/>
      <c r="M150" s="62"/>
      <c r="N150" s="119"/>
      <c r="O150" s="224">
        <f>SUM(Fluxo_de_Caixa_Janeiro310201314[[#This Row],[Janeiro]:[Dezembro]])</f>
        <v>0</v>
      </c>
      <c r="P150" s="194" t="str">
        <f t="shared" si="9"/>
        <v>0,00%</v>
      </c>
      <c r="Q150" s="75"/>
      <c r="R150" s="32" t="str">
        <f>IF(Fluxo_de_Caixa_Janeiro310201314[[#This Row],[% ACUMULADO  3º SEMEST 2026]]&lt;=Fluxo_de_Caixa_Janeiro310201314[[#This Row],[Coluna1]],"VERDADEIRO","FALSO")</f>
        <v>FALSO</v>
      </c>
    </row>
    <row r="151" spans="2:18" x14ac:dyDescent="0.25">
      <c r="B151" s="55" t="str">
        <f>Fluxo_de_Caixa_Janeiro[[#This Row],[Fluxo de Caixa 2026 CTR]]</f>
        <v>3.4.06. Manutenção/ reforma/ reparos</v>
      </c>
      <c r="C151" s="35"/>
      <c r="D151" s="62"/>
      <c r="E151" s="62"/>
      <c r="F151" s="62"/>
      <c r="G151" s="62"/>
      <c r="H151" s="62"/>
      <c r="I151" s="35">
        <f>Fluxo_de_Caixa_Janeiro3459117[[#This Row],[JULHO]]</f>
        <v>0</v>
      </c>
      <c r="J151" s="62">
        <f>Fluxo_de_Caixa_Janeiro345911710[[#This Row],[AGOSTO]]</f>
        <v>0</v>
      </c>
      <c r="K151" s="62">
        <f>Fluxo_de_Caixa_Janeiro34591171012[[#This Row],[SETEMBRO]]</f>
        <v>0</v>
      </c>
      <c r="L151" s="62"/>
      <c r="M151" s="62"/>
      <c r="N151" s="119"/>
      <c r="O151" s="224">
        <f>SUM(Fluxo_de_Caixa_Janeiro310201314[[#This Row],[Janeiro]:[Dezembro]])</f>
        <v>0</v>
      </c>
      <c r="P151" s="194" t="str">
        <f t="shared" si="9"/>
        <v>0,00%</v>
      </c>
      <c r="Q151" s="75"/>
      <c r="R151" s="32" t="str">
        <f>IF(Fluxo_de_Caixa_Janeiro310201314[[#This Row],[% ACUMULADO  3º SEMEST 2026]]&lt;=Fluxo_de_Caixa_Janeiro310201314[[#This Row],[Coluna1]],"VERDADEIRO","FALSO")</f>
        <v>FALSO</v>
      </c>
    </row>
    <row r="152" spans="2:18" x14ac:dyDescent="0.25">
      <c r="B152" s="55" t="str">
        <f>Fluxo_de_Caixa_Janeiro[[#This Row],[Fluxo de Caixa 2026 CTR]]</f>
        <v>3.4.07. Diária de Prestador de Serviço</v>
      </c>
      <c r="C152" s="35"/>
      <c r="D152" s="62"/>
      <c r="E152" s="62"/>
      <c r="F152" s="62"/>
      <c r="G152" s="62"/>
      <c r="H152" s="62"/>
      <c r="I152" s="35">
        <f>Fluxo_de_Caixa_Janeiro3459117[[#This Row],[JULHO]]</f>
        <v>0</v>
      </c>
      <c r="J152" s="62">
        <f>Fluxo_de_Caixa_Janeiro345911710[[#This Row],[AGOSTO]]</f>
        <v>0</v>
      </c>
      <c r="K152" s="62">
        <f>Fluxo_de_Caixa_Janeiro34591171012[[#This Row],[SETEMBRO]]</f>
        <v>0</v>
      </c>
      <c r="L152" s="62"/>
      <c r="M152" s="62"/>
      <c r="N152" s="119"/>
      <c r="O152" s="224">
        <f>SUM(Fluxo_de_Caixa_Janeiro310201314[[#This Row],[Janeiro]:[Dezembro]])</f>
        <v>0</v>
      </c>
      <c r="P152" s="194" t="str">
        <f t="shared" si="9"/>
        <v>0,00%</v>
      </c>
      <c r="Q152" s="75"/>
      <c r="R152" s="32" t="str">
        <f>IF(Fluxo_de_Caixa_Janeiro310201314[[#This Row],[% ACUMULADO  3º SEMEST 2026]]&lt;=Fluxo_de_Caixa_Janeiro310201314[[#This Row],[Coluna1]],"VERDADEIRO","FALSO")</f>
        <v>FALSO</v>
      </c>
    </row>
    <row r="153" spans="2:18" x14ac:dyDescent="0.25">
      <c r="B153" s="169" t="str">
        <f>Fluxo_de_Caixa_Janeiro[[#This Row],[Fluxo de Caixa 2026 CTR]]</f>
        <v>3.4.08. Consultoria (RH/Empresarial/Contábil/Etc)</v>
      </c>
      <c r="C153" s="41"/>
      <c r="D153" s="81"/>
      <c r="E153" s="81"/>
      <c r="F153" s="81"/>
      <c r="G153" s="81"/>
      <c r="H153" s="81"/>
      <c r="I153" s="41">
        <f>Fluxo_de_Caixa_Janeiro3459117[[#This Row],[JULHO]]</f>
        <v>0</v>
      </c>
      <c r="J153" s="81">
        <f>Fluxo_de_Caixa_Janeiro345911710[[#This Row],[AGOSTO]]</f>
        <v>0</v>
      </c>
      <c r="K153" s="81">
        <f>Fluxo_de_Caixa_Janeiro34591171012[[#This Row],[SETEMBRO]]</f>
        <v>0</v>
      </c>
      <c r="L153" s="81"/>
      <c r="M153" s="81"/>
      <c r="N153" s="118"/>
      <c r="O153" s="223">
        <f>SUM(Fluxo_de_Caixa_Janeiro310201314[[#This Row],[Janeiro]:[Dezembro]])</f>
        <v>0</v>
      </c>
      <c r="P153" s="193" t="str">
        <f t="shared" si="9"/>
        <v>0,00%</v>
      </c>
      <c r="Q153" s="93"/>
      <c r="R153" s="32" t="str">
        <f>IF(Fluxo_de_Caixa_Janeiro310201314[[#This Row],[% ACUMULADO  3º SEMEST 2026]]&lt;=Fluxo_de_Caixa_Janeiro310201314[[#This Row],[Coluna1]],"VERDADEIRO","FALSO")</f>
        <v>FALSO</v>
      </c>
    </row>
    <row r="154" spans="2:18" x14ac:dyDescent="0.25">
      <c r="B154" s="55" t="str">
        <f>Fluxo_de_Caixa_Janeiro[[#This Row],[Fluxo de Caixa 2026 CTR]]</f>
        <v>3.4.09. Honorarios Advogado</v>
      </c>
      <c r="C154" s="35"/>
      <c r="D154" s="62"/>
      <c r="E154" s="62"/>
      <c r="F154" s="62"/>
      <c r="G154" s="62"/>
      <c r="H154" s="62"/>
      <c r="I154" s="35">
        <f>Fluxo_de_Caixa_Janeiro3459117[[#This Row],[JULHO]]</f>
        <v>0</v>
      </c>
      <c r="J154" s="62">
        <f>Fluxo_de_Caixa_Janeiro345911710[[#This Row],[AGOSTO]]</f>
        <v>0</v>
      </c>
      <c r="K154" s="62">
        <f>Fluxo_de_Caixa_Janeiro34591171012[[#This Row],[SETEMBRO]]</f>
        <v>0</v>
      </c>
      <c r="L154" s="62"/>
      <c r="M154" s="62"/>
      <c r="N154" s="119"/>
      <c r="O154" s="224">
        <f>SUM(Fluxo_de_Caixa_Janeiro310201314[[#This Row],[Janeiro]:[Dezembro]])</f>
        <v>0</v>
      </c>
      <c r="P154" s="194" t="str">
        <f t="shared" si="9"/>
        <v>0,00%</v>
      </c>
      <c r="Q154" s="75"/>
      <c r="R154" s="32" t="str">
        <f>IF(Fluxo_de_Caixa_Janeiro310201314[[#This Row],[% ACUMULADO  3º SEMEST 2026]]&lt;=Fluxo_de_Caixa_Janeiro310201314[[#This Row],[Coluna1]],"VERDADEIRO","FALSO")</f>
        <v>FALSO</v>
      </c>
    </row>
    <row r="155" spans="2:18" x14ac:dyDescent="0.25">
      <c r="B155" s="55" t="str">
        <f>Fluxo_de_Caixa_Janeiro[[#This Row],[Fluxo de Caixa 2026 CTR]]</f>
        <v>3.4.10. Taxas Administrativas (Alvará de Funcio, taxas)</v>
      </c>
      <c r="C155" s="35"/>
      <c r="D155" s="62"/>
      <c r="E155" s="62"/>
      <c r="F155" s="62"/>
      <c r="G155" s="62"/>
      <c r="H155" s="62"/>
      <c r="I155" s="35">
        <f>Fluxo_de_Caixa_Janeiro3459117[[#This Row],[JULHO]]</f>
        <v>0</v>
      </c>
      <c r="J155" s="62">
        <f>Fluxo_de_Caixa_Janeiro345911710[[#This Row],[AGOSTO]]</f>
        <v>0</v>
      </c>
      <c r="K155" s="62">
        <f>Fluxo_de_Caixa_Janeiro34591171012[[#This Row],[SETEMBRO]]</f>
        <v>0</v>
      </c>
      <c r="L155" s="62"/>
      <c r="M155" s="62"/>
      <c r="N155" s="119"/>
      <c r="O155" s="224">
        <f>SUM(Fluxo_de_Caixa_Janeiro310201314[[#This Row],[Janeiro]:[Dezembro]])</f>
        <v>0</v>
      </c>
      <c r="P155" s="194" t="str">
        <f t="shared" si="9"/>
        <v>0,00%</v>
      </c>
      <c r="Q155" s="75"/>
      <c r="R155" s="32" t="str">
        <f>IF(Fluxo_de_Caixa_Janeiro310201314[[#This Row],[% ACUMULADO  3º SEMEST 2026]]&lt;=Fluxo_de_Caixa_Janeiro310201314[[#This Row],[Coluna1]],"VERDADEIRO","FALSO")</f>
        <v>FALSO</v>
      </c>
    </row>
    <row r="156" spans="2:18" x14ac:dyDescent="0.25">
      <c r="B156" s="55" t="str">
        <f>Fluxo_de_Caixa_Janeiro[[#This Row],[Fluxo de Caixa 2026 CTR]]</f>
        <v>3.4.11. Despesa com Processos Judiciais</v>
      </c>
      <c r="C156" s="35"/>
      <c r="D156" s="62"/>
      <c r="E156" s="62"/>
      <c r="F156" s="62"/>
      <c r="G156" s="62"/>
      <c r="H156" s="62"/>
      <c r="I156" s="35">
        <f>Fluxo_de_Caixa_Janeiro3459117[[#This Row],[JULHO]]</f>
        <v>0</v>
      </c>
      <c r="J156" s="62">
        <f>Fluxo_de_Caixa_Janeiro345911710[[#This Row],[AGOSTO]]</f>
        <v>0</v>
      </c>
      <c r="K156" s="62">
        <f>Fluxo_de_Caixa_Janeiro34591171012[[#This Row],[SETEMBRO]]</f>
        <v>0</v>
      </c>
      <c r="L156" s="62"/>
      <c r="M156" s="62"/>
      <c r="N156" s="119"/>
      <c r="O156" s="224">
        <f>SUM(Fluxo_de_Caixa_Janeiro310201314[[#This Row],[Janeiro]:[Dezembro]])</f>
        <v>0</v>
      </c>
      <c r="P156" s="194" t="str">
        <f t="shared" si="9"/>
        <v>0,00%</v>
      </c>
      <c r="Q156" s="75"/>
      <c r="R156" s="32" t="str">
        <f>IF(Fluxo_de_Caixa_Janeiro310201314[[#This Row],[% ACUMULADO  3º SEMEST 2026]]&lt;=Fluxo_de_Caixa_Janeiro310201314[[#This Row],[Coluna1]],"VERDADEIRO","FALSO")</f>
        <v>FALSO</v>
      </c>
    </row>
    <row r="157" spans="2:18" x14ac:dyDescent="0.25">
      <c r="B157" s="55" t="str">
        <f>Fluxo_de_Caixa_Janeiro[[#This Row],[Fluxo de Caixa 2026 CTR]]</f>
        <v xml:space="preserve">3.4.12. Equipe de Cobrança </v>
      </c>
      <c r="C157" s="35"/>
      <c r="D157" s="62"/>
      <c r="E157" s="62"/>
      <c r="F157" s="62"/>
      <c r="G157" s="62"/>
      <c r="H157" s="62"/>
      <c r="I157" s="35">
        <f>Fluxo_de_Caixa_Janeiro3459117[[#This Row],[JULHO]]</f>
        <v>0</v>
      </c>
      <c r="J157" s="62">
        <f>Fluxo_de_Caixa_Janeiro345911710[[#This Row],[AGOSTO]]</f>
        <v>0</v>
      </c>
      <c r="K157" s="62">
        <f>Fluxo_de_Caixa_Janeiro34591171012[[#This Row],[SETEMBRO]]</f>
        <v>0</v>
      </c>
      <c r="L157" s="62"/>
      <c r="M157" s="62"/>
      <c r="N157" s="119"/>
      <c r="O157" s="224">
        <f>SUM(Fluxo_de_Caixa_Janeiro310201314[[#This Row],[Janeiro]:[Dezembro]])</f>
        <v>0</v>
      </c>
      <c r="P157" s="194" t="str">
        <f t="shared" si="9"/>
        <v>0,00%</v>
      </c>
      <c r="Q157" s="75"/>
      <c r="R157" s="32" t="str">
        <f>IF(Fluxo_de_Caixa_Janeiro310201314[[#This Row],[% ACUMULADO  3º SEMEST 2026]]&lt;=Fluxo_de_Caixa_Janeiro310201314[[#This Row],[Coluna1]],"VERDADEIRO","FALSO")</f>
        <v>FALSO</v>
      </c>
    </row>
    <row r="158" spans="2:18" x14ac:dyDescent="0.25">
      <c r="B158" s="55" t="str">
        <f>Fluxo_de_Caixa_Janeiro[[#This Row],[Fluxo de Caixa 2026 CTR]]</f>
        <v>3.4.13. Seguradora Predial / Equipamento</v>
      </c>
      <c r="C158" s="35"/>
      <c r="D158" s="62"/>
      <c r="E158" s="62"/>
      <c r="F158" s="62"/>
      <c r="G158" s="62"/>
      <c r="H158" s="62"/>
      <c r="I158" s="35">
        <f>Fluxo_de_Caixa_Janeiro3459117[[#This Row],[JULHO]]</f>
        <v>0</v>
      </c>
      <c r="J158" s="62">
        <f>Fluxo_de_Caixa_Janeiro345911710[[#This Row],[AGOSTO]]</f>
        <v>0</v>
      </c>
      <c r="K158" s="62">
        <f>Fluxo_de_Caixa_Janeiro34591171012[[#This Row],[SETEMBRO]]</f>
        <v>0</v>
      </c>
      <c r="L158" s="62"/>
      <c r="M158" s="62"/>
      <c r="N158" s="119"/>
      <c r="O158" s="224">
        <f>SUM(Fluxo_de_Caixa_Janeiro310201314[[#This Row],[Janeiro]:[Dezembro]])</f>
        <v>0</v>
      </c>
      <c r="P158" s="194" t="str">
        <f t="shared" si="9"/>
        <v>0,00%</v>
      </c>
      <c r="Q158" s="75"/>
      <c r="R158" s="32" t="str">
        <f>IF(Fluxo_de_Caixa_Janeiro310201314[[#This Row],[% ACUMULADO  3º SEMEST 2026]]&lt;=Fluxo_de_Caixa_Janeiro310201314[[#This Row],[Coluna1]],"VERDADEIRO","FALSO")</f>
        <v>FALSO</v>
      </c>
    </row>
    <row r="159" spans="2:18" x14ac:dyDescent="0.25">
      <c r="B159" s="55" t="str">
        <f>Fluxo_de_Caixa_Janeiro[[#This Row],[Fluxo de Caixa 2026 CTR]]</f>
        <v>3.4.14. Consulta de crédito SPC/Serasa</v>
      </c>
      <c r="C159" s="35"/>
      <c r="D159" s="62"/>
      <c r="E159" s="62"/>
      <c r="F159" s="62"/>
      <c r="G159" s="62"/>
      <c r="H159" s="62"/>
      <c r="I159" s="35">
        <f>Fluxo_de_Caixa_Janeiro3459117[[#This Row],[JULHO]]</f>
        <v>0</v>
      </c>
      <c r="J159" s="62">
        <f>Fluxo_de_Caixa_Janeiro345911710[[#This Row],[AGOSTO]]</f>
        <v>0</v>
      </c>
      <c r="K159" s="62">
        <f>Fluxo_de_Caixa_Janeiro34591171012[[#This Row],[SETEMBRO]]</f>
        <v>0</v>
      </c>
      <c r="L159" s="62"/>
      <c r="M159" s="62"/>
      <c r="N159" s="119"/>
      <c r="O159" s="224">
        <f>SUM(Fluxo_de_Caixa_Janeiro310201314[[#This Row],[Janeiro]:[Dezembro]])</f>
        <v>0</v>
      </c>
      <c r="P159" s="194" t="str">
        <f t="shared" si="9"/>
        <v>0,00%</v>
      </c>
      <c r="Q159" s="75"/>
      <c r="R159" s="32" t="str">
        <f>IF(Fluxo_de_Caixa_Janeiro310201314[[#This Row],[% ACUMULADO  3º SEMEST 2026]]&lt;=Fluxo_de_Caixa_Janeiro310201314[[#This Row],[Coluna1]],"VERDADEIRO","FALSO")</f>
        <v>FALSO</v>
      </c>
    </row>
    <row r="160" spans="2:18" x14ac:dyDescent="0.25">
      <c r="B160" s="55" t="str">
        <f>Fluxo_de_Caixa_Janeiro[[#This Row],[Fluxo de Caixa 2026 CTR]]</f>
        <v>3.4.15. Frete Compra de Material Uso e Consumo</v>
      </c>
      <c r="C160" s="35"/>
      <c r="D160" s="62"/>
      <c r="E160" s="62"/>
      <c r="F160" s="62"/>
      <c r="G160" s="62"/>
      <c r="H160" s="62"/>
      <c r="I160" s="35">
        <f>Fluxo_de_Caixa_Janeiro3459117[[#This Row],[JULHO]]</f>
        <v>0</v>
      </c>
      <c r="J160" s="62">
        <f>Fluxo_de_Caixa_Janeiro345911710[[#This Row],[AGOSTO]]</f>
        <v>0</v>
      </c>
      <c r="K160" s="62">
        <f>Fluxo_de_Caixa_Janeiro34591171012[[#This Row],[SETEMBRO]]</f>
        <v>0</v>
      </c>
      <c r="L160" s="62"/>
      <c r="M160" s="62"/>
      <c r="N160" s="397"/>
      <c r="O160" s="224">
        <f>SUM(Fluxo_de_Caixa_Janeiro310201314[[#This Row],[Janeiro]:[Dezembro]])</f>
        <v>0</v>
      </c>
      <c r="P160" s="194" t="str">
        <f t="shared" si="9"/>
        <v>0,00%</v>
      </c>
      <c r="Q160" s="75"/>
      <c r="R160" s="32" t="str">
        <f>IF(Fluxo_de_Caixa_Janeiro310201314[[#This Row],[% ACUMULADO  3º SEMEST 2026]]&lt;=Fluxo_de_Caixa_Janeiro310201314[[#This Row],[Coluna1]],"VERDADEIRO","FALSO")</f>
        <v>FALSO</v>
      </c>
    </row>
    <row r="161" spans="1:18" x14ac:dyDescent="0.25">
      <c r="B161" s="55" t="str">
        <f>Fluxo_de_Caixa_Janeiro[[#This Row],[Fluxo de Caixa 2026 CTR]]</f>
        <v xml:space="preserve">3.4.16. Pro labore </v>
      </c>
      <c r="C161" s="35"/>
      <c r="D161" s="62"/>
      <c r="E161" s="62"/>
      <c r="F161" s="62"/>
      <c r="G161" s="62"/>
      <c r="H161" s="62"/>
      <c r="I161" s="35">
        <f>Fluxo_de_Caixa_Janeiro3459117[[#This Row],[JULHO]]</f>
        <v>0</v>
      </c>
      <c r="J161" s="62">
        <f>Fluxo_de_Caixa_Janeiro345911710[[#This Row],[AGOSTO]]</f>
        <v>0</v>
      </c>
      <c r="K161" s="62">
        <f>Fluxo_de_Caixa_Janeiro34591171012[[#This Row],[SETEMBRO]]</f>
        <v>0</v>
      </c>
      <c r="L161" s="62"/>
      <c r="M161" s="62"/>
      <c r="N161" s="119"/>
      <c r="O161" s="224">
        <f>SUM(Fluxo_de_Caixa_Janeiro310201314[[#This Row],[Janeiro]:[Dezembro]])</f>
        <v>0</v>
      </c>
      <c r="P161" s="194" t="str">
        <f t="shared" si="9"/>
        <v>0,00%</v>
      </c>
      <c r="Q161" s="75"/>
      <c r="R161" s="32" t="str">
        <f>IF(Fluxo_de_Caixa_Janeiro310201314[[#This Row],[% ACUMULADO  3º SEMEST 2026]]&lt;=Fluxo_de_Caixa_Janeiro310201314[[#This Row],[Coluna1]],"VERDADEIRO","FALSO")</f>
        <v>FALSO</v>
      </c>
    </row>
    <row r="162" spans="1:18" x14ac:dyDescent="0.25">
      <c r="B162" s="55" t="str">
        <f>Fluxo_de_Caixa_Janeiro[[#This Row],[Fluxo de Caixa 2026 CTR]]</f>
        <v>3.4.17. Multas Administrativas e trabalhistas</v>
      </c>
      <c r="C162" s="35"/>
      <c r="D162" s="62"/>
      <c r="E162" s="62"/>
      <c r="F162" s="62"/>
      <c r="G162" s="62"/>
      <c r="H162" s="62"/>
      <c r="I162" s="35">
        <f>Fluxo_de_Caixa_Janeiro3459117[[#This Row],[JULHO]]</f>
        <v>0</v>
      </c>
      <c r="J162" s="62">
        <f>Fluxo_de_Caixa_Janeiro345911710[[#This Row],[AGOSTO]]</f>
        <v>0</v>
      </c>
      <c r="K162" s="62">
        <f>Fluxo_de_Caixa_Janeiro34591171012[[#This Row],[SETEMBRO]]</f>
        <v>0</v>
      </c>
      <c r="L162" s="62"/>
      <c r="M162" s="62"/>
      <c r="N162" s="119"/>
      <c r="O162" s="224">
        <f>SUM(Fluxo_de_Caixa_Janeiro310201314[[#This Row],[Janeiro]:[Dezembro]])</f>
        <v>0</v>
      </c>
      <c r="P162" s="194" t="str">
        <f t="shared" si="9"/>
        <v>0,00%</v>
      </c>
      <c r="Q162" s="75"/>
      <c r="R162" s="32" t="str">
        <f>IF(Fluxo_de_Caixa_Janeiro310201314[[#This Row],[% ACUMULADO  3º SEMEST 2026]]&lt;=Fluxo_de_Caixa_Janeiro310201314[[#This Row],[Coluna1]],"VERDADEIRO","FALSO")</f>
        <v>FALSO</v>
      </c>
    </row>
    <row r="163" spans="1:18" x14ac:dyDescent="0.25">
      <c r="B163" s="55" t="str">
        <f>Fluxo_de_Caixa_Janeiro[[#This Row],[Fluxo de Caixa 2026 CTR]]</f>
        <v>3.4.18. Seguro Prestamista - Variavel (Emprestimo)</v>
      </c>
      <c r="C163" s="35"/>
      <c r="D163" s="62"/>
      <c r="E163" s="62"/>
      <c r="F163" s="62"/>
      <c r="G163" s="62"/>
      <c r="H163" s="62"/>
      <c r="I163" s="35">
        <f>Fluxo_de_Caixa_Janeiro3459117[[#This Row],[JULHO]]</f>
        <v>0</v>
      </c>
      <c r="J163" s="62">
        <f>Fluxo_de_Caixa_Janeiro345911710[[#This Row],[AGOSTO]]</f>
        <v>0</v>
      </c>
      <c r="K163" s="62">
        <f>Fluxo_de_Caixa_Janeiro34591171012[[#This Row],[SETEMBRO]]</f>
        <v>0</v>
      </c>
      <c r="L163" s="62"/>
      <c r="M163" s="62"/>
      <c r="N163" s="119"/>
      <c r="O163" s="224">
        <f>SUM(Fluxo_de_Caixa_Janeiro310201314[[#This Row],[Janeiro]:[Dezembro]])</f>
        <v>0</v>
      </c>
      <c r="P163" s="194" t="str">
        <f t="shared" si="9"/>
        <v>0,00%</v>
      </c>
      <c r="Q163" s="75"/>
      <c r="R163" s="32" t="str">
        <f>IF(Fluxo_de_Caixa_Janeiro310201314[[#This Row],[% ACUMULADO  3º SEMEST 2026]]&lt;=Fluxo_de_Caixa_Janeiro310201314[[#This Row],[Coluna1]],"VERDADEIRO","FALSO")</f>
        <v>FALSO</v>
      </c>
    </row>
    <row r="164" spans="1:18" ht="15.75" thickBot="1" x14ac:dyDescent="0.3">
      <c r="B164" s="55" t="str">
        <f>Fluxo_de_Caixa_Janeiro[[#This Row],[Fluxo de Caixa 2026 CTR]]</f>
        <v>3.4.19. Contribuições e Doações</v>
      </c>
      <c r="C164" s="35"/>
      <c r="D164" s="62"/>
      <c r="E164" s="62"/>
      <c r="F164" s="62"/>
      <c r="G164" s="62"/>
      <c r="H164" s="62"/>
      <c r="I164" s="35">
        <f>Fluxo_de_Caixa_Janeiro3459117[[#This Row],[JULHO]]</f>
        <v>0</v>
      </c>
      <c r="J164" s="62">
        <f>Fluxo_de_Caixa_Janeiro345911710[[#This Row],[AGOSTO]]</f>
        <v>0</v>
      </c>
      <c r="K164" s="62">
        <f>Fluxo_de_Caixa_Janeiro34591171012[[#This Row],[SETEMBRO]]</f>
        <v>0</v>
      </c>
      <c r="L164" s="62"/>
      <c r="M164" s="62"/>
      <c r="N164" s="119"/>
      <c r="O164" s="224">
        <f>SUM(Fluxo_de_Caixa_Janeiro310201314[[#This Row],[Janeiro]:[Dezembro]])</f>
        <v>0</v>
      </c>
      <c r="P164" s="194" t="str">
        <f t="shared" si="9"/>
        <v>0,00%</v>
      </c>
      <c r="Q164" s="75"/>
      <c r="R164" s="32" t="str">
        <f>IF(Fluxo_de_Caixa_Janeiro310201314[[#This Row],[% ACUMULADO  3º SEMEST 2026]]&lt;=Fluxo_de_Caixa_Janeiro310201314[[#This Row],[Coluna1]],"VERDADEIRO","FALSO")</f>
        <v>FALSO</v>
      </c>
    </row>
    <row r="165" spans="1:18" hidden="1" x14ac:dyDescent="0.25">
      <c r="B165" s="55" t="str">
        <f>Fluxo_de_Caixa_Janeiro[[#This Row],[Fluxo de Caixa 2026 CTR]]</f>
        <v>3.4.20. Aquisi. Equipam. ADM não Imobilizavel</v>
      </c>
      <c r="C165" s="35"/>
      <c r="D165" s="62"/>
      <c r="E165" s="62"/>
      <c r="F165" s="62"/>
      <c r="G165" s="62"/>
      <c r="H165" s="62"/>
      <c r="I165" s="35">
        <f>Fluxo_de_Caixa_Janeiro3459117[[#This Row],[JULHO]]</f>
        <v>0</v>
      </c>
      <c r="J165" s="62">
        <f>Fluxo_de_Caixa_Janeiro345911710[[#This Row],[AGOSTO]]</f>
        <v>0</v>
      </c>
      <c r="K165" s="62">
        <f>Fluxo_de_Caixa_Janeiro34591171012[[#This Row],[SETEMBRO]]</f>
        <v>0</v>
      </c>
      <c r="L165" s="62"/>
      <c r="M165" s="62"/>
      <c r="N165" s="119"/>
      <c r="O165" s="224">
        <f>SUM(Fluxo_de_Caixa_Janeiro310201314[[#This Row],[Janeiro]:[Dezembro]])</f>
        <v>0</v>
      </c>
      <c r="P165" s="194" t="str">
        <f t="shared" si="9"/>
        <v>0,00%</v>
      </c>
      <c r="Q165" s="75"/>
      <c r="R165" s="32" t="str">
        <f>IF(Fluxo_de_Caixa_Janeiro310201314[[#This Row],[% ACUMULADO  3º SEMEST 2026]]&lt;=Fluxo_de_Caixa_Janeiro310201314[[#This Row],[Coluna1]],"VERDADEIRO","FALSO")</f>
        <v>FALSO</v>
      </c>
    </row>
    <row r="166" spans="1:18" ht="15.75" hidden="1" thickBot="1" x14ac:dyDescent="0.3">
      <c r="B166" s="276">
        <f>Fluxo_de_Caixa_Janeiro[[#This Row],[Fluxo de Caixa 2026 CTR]]</f>
        <v>0</v>
      </c>
      <c r="C166" s="36"/>
      <c r="D166" s="82"/>
      <c r="E166" s="82"/>
      <c r="F166" s="82"/>
      <c r="G166" s="82"/>
      <c r="H166" s="82"/>
      <c r="I166" s="36">
        <f>Fluxo_de_Caixa_Janeiro3459117[[#This Row],[JULHO]]</f>
        <v>0</v>
      </c>
      <c r="J166" s="82">
        <f>Fluxo_de_Caixa_Janeiro345911710[[#This Row],[AGOSTO]]</f>
        <v>0</v>
      </c>
      <c r="K166" s="82">
        <f>Fluxo_de_Caixa_Janeiro34591171012[[#This Row],[SETEMBRO]]</f>
        <v>0</v>
      </c>
      <c r="L166" s="82"/>
      <c r="M166" s="82"/>
      <c r="N166" s="120"/>
      <c r="O166" s="225">
        <f>SUM(Fluxo_de_Caixa_Janeiro310201314[[#This Row],[Janeiro]:[Dezembro]])</f>
        <v>0</v>
      </c>
      <c r="P166" s="195" t="str">
        <f t="shared" si="9"/>
        <v>0,00%</v>
      </c>
      <c r="Q166" s="96"/>
      <c r="R166" s="32" t="str">
        <f>IF(Fluxo_de_Caixa_Janeiro310201314[[#This Row],[% ACUMULADO  3º SEMEST 2026]]&lt;=Fluxo_de_Caixa_Janeiro310201314[[#This Row],[Coluna1]],"VERDADEIRO","FALSO")</f>
        <v>FALSO</v>
      </c>
    </row>
    <row r="167" spans="1:18" ht="19.5" thickBot="1" x14ac:dyDescent="0.35">
      <c r="A167" s="15" t="s">
        <v>6</v>
      </c>
      <c r="B167" s="168" t="str">
        <f>Fluxo_de_Caixa_Janeiro[[#This Row],[Fluxo de Caixa 2026 CTR]]</f>
        <v>3.5. DESPESAS FIXAS</v>
      </c>
      <c r="C167" s="158"/>
      <c r="D167" s="97"/>
      <c r="E167" s="97"/>
      <c r="F167" s="97"/>
      <c r="G167" s="97"/>
      <c r="H167" s="97"/>
      <c r="I167" s="158">
        <f>Fluxo_de_Caixa_Janeiro3459117[[#This Row],[JULHO]]</f>
        <v>0</v>
      </c>
      <c r="J167" s="97">
        <f>Fluxo_de_Caixa_Janeiro345911710[[#This Row],[AGOSTO]]</f>
        <v>0</v>
      </c>
      <c r="K167" s="97">
        <f>Fluxo_de_Caixa_Janeiro34591171012[[#This Row],[SETEMBRO]]</f>
        <v>0</v>
      </c>
      <c r="L167" s="97"/>
      <c r="M167" s="97"/>
      <c r="N167" s="129"/>
      <c r="O167" s="226">
        <f>SUM(Fluxo_de_Caixa_Janeiro310201314[[#This Row],[Janeiro]:[Dezembro]])</f>
        <v>0</v>
      </c>
      <c r="P167" s="144">
        <f>-IFERROR(O167/$O$27,"0,00")</f>
        <v>0</v>
      </c>
      <c r="Q167" s="98"/>
      <c r="R167" s="32" t="str">
        <f>IF(Fluxo_de_Caixa_Janeiro310201314[[#This Row],[% ACUMULADO  3º SEMEST 2026]]&lt;=Fluxo_de_Caixa_Janeiro310201314[[#This Row],[Coluna1]],"VERDADEIRO","FALSO")</f>
        <v>VERDADEIRO</v>
      </c>
    </row>
    <row r="168" spans="1:18" x14ac:dyDescent="0.25">
      <c r="B168" s="169" t="str">
        <f>Fluxo_de_Caixa_Janeiro[[#This Row],[Fluxo de Caixa 2026 CTR]]</f>
        <v>3.5.01. Conta de Água</v>
      </c>
      <c r="C168" s="41"/>
      <c r="D168" s="81"/>
      <c r="E168" s="81"/>
      <c r="F168" s="81"/>
      <c r="G168" s="81"/>
      <c r="H168" s="81"/>
      <c r="I168" s="41">
        <f>Fluxo_de_Caixa_Janeiro3459117[[#This Row],[JULHO]]</f>
        <v>0</v>
      </c>
      <c r="J168" s="81">
        <f>Fluxo_de_Caixa_Janeiro345911710[[#This Row],[AGOSTO]]</f>
        <v>0</v>
      </c>
      <c r="K168" s="81">
        <f>Fluxo_de_Caixa_Janeiro34591171012[[#This Row],[SETEMBRO]]</f>
        <v>0</v>
      </c>
      <c r="L168" s="81"/>
      <c r="M168" s="81"/>
      <c r="N168" s="118"/>
      <c r="O168" s="223">
        <f>SUM(Fluxo_de_Caixa_Janeiro310201314[[#This Row],[Janeiro]:[Dezembro]])</f>
        <v>0</v>
      </c>
      <c r="P168" s="193" t="str">
        <f t="shared" ref="P168:P181" si="10">IFERROR(O168/$O$27,"0,00%")</f>
        <v>0,00%</v>
      </c>
      <c r="Q168" s="93"/>
      <c r="R168" s="32" t="str">
        <f>IF(Fluxo_de_Caixa_Janeiro310201314[[#This Row],[% ACUMULADO  3º SEMEST 2026]]&lt;=Fluxo_de_Caixa_Janeiro310201314[[#This Row],[Coluna1]],"VERDADEIRO","FALSO")</f>
        <v>FALSO</v>
      </c>
    </row>
    <row r="169" spans="1:18" x14ac:dyDescent="0.25">
      <c r="B169" s="55" t="str">
        <f>Fluxo_de_Caixa_Janeiro[[#This Row],[Fluxo de Caixa 2026 CTR]]</f>
        <v xml:space="preserve">3.5.02. Conta de Energia </v>
      </c>
      <c r="C169" s="35"/>
      <c r="D169" s="62"/>
      <c r="E169" s="62"/>
      <c r="F169" s="62"/>
      <c r="G169" s="62"/>
      <c r="H169" s="62"/>
      <c r="I169" s="35">
        <f>Fluxo_de_Caixa_Janeiro3459117[[#This Row],[JULHO]]</f>
        <v>0</v>
      </c>
      <c r="J169" s="62">
        <f>Fluxo_de_Caixa_Janeiro345911710[[#This Row],[AGOSTO]]</f>
        <v>0</v>
      </c>
      <c r="K169" s="62">
        <f>Fluxo_de_Caixa_Janeiro34591171012[[#This Row],[SETEMBRO]]</f>
        <v>0</v>
      </c>
      <c r="L169" s="62"/>
      <c r="M169" s="62"/>
      <c r="N169" s="119"/>
      <c r="O169" s="224">
        <f>SUM(Fluxo_de_Caixa_Janeiro310201314[[#This Row],[Janeiro]:[Dezembro]])</f>
        <v>0</v>
      </c>
      <c r="P169" s="194" t="str">
        <f t="shared" si="10"/>
        <v>0,00%</v>
      </c>
      <c r="Q169" s="75"/>
      <c r="R169" s="32" t="str">
        <f>IF(Fluxo_de_Caixa_Janeiro310201314[[#This Row],[% ACUMULADO  3º SEMEST 2026]]&lt;=Fluxo_de_Caixa_Janeiro310201314[[#This Row],[Coluna1]],"VERDADEIRO","FALSO")</f>
        <v>FALSO</v>
      </c>
    </row>
    <row r="170" spans="1:18" x14ac:dyDescent="0.25">
      <c r="B170" s="55" t="str">
        <f>Fluxo_de_Caixa_Janeiro[[#This Row],[Fluxo de Caixa 2026 CTR]]</f>
        <v>3.5.03. Conta de Telefone Fixo/Internet</v>
      </c>
      <c r="C170" s="35"/>
      <c r="D170" s="62"/>
      <c r="E170" s="62"/>
      <c r="F170" s="62"/>
      <c r="G170" s="62"/>
      <c r="H170" s="62"/>
      <c r="I170" s="35">
        <f>Fluxo_de_Caixa_Janeiro3459117[[#This Row],[JULHO]]</f>
        <v>0</v>
      </c>
      <c r="J170" s="62">
        <f>Fluxo_de_Caixa_Janeiro345911710[[#This Row],[AGOSTO]]</f>
        <v>0</v>
      </c>
      <c r="K170" s="62">
        <f>Fluxo_de_Caixa_Janeiro34591171012[[#This Row],[SETEMBRO]]</f>
        <v>0</v>
      </c>
      <c r="L170" s="62"/>
      <c r="M170" s="62"/>
      <c r="N170" s="119"/>
      <c r="O170" s="224">
        <f>SUM(Fluxo_de_Caixa_Janeiro310201314[[#This Row],[Janeiro]:[Dezembro]])</f>
        <v>0</v>
      </c>
      <c r="P170" s="194" t="str">
        <f t="shared" si="10"/>
        <v>0,00%</v>
      </c>
      <c r="Q170" s="75"/>
      <c r="R170" s="32" t="str">
        <f>IF(Fluxo_de_Caixa_Janeiro310201314[[#This Row],[% ACUMULADO  3º SEMEST 2026]]&lt;=Fluxo_de_Caixa_Janeiro310201314[[#This Row],[Coluna1]],"VERDADEIRO","FALSO")</f>
        <v>FALSO</v>
      </c>
    </row>
    <row r="171" spans="1:18" x14ac:dyDescent="0.25">
      <c r="B171" s="55" t="str">
        <f>Fluxo_de_Caixa_Janeiro[[#This Row],[Fluxo de Caixa 2026 CTR]]</f>
        <v>3.5.04. Conta de Celular</v>
      </c>
      <c r="C171" s="35"/>
      <c r="D171" s="62"/>
      <c r="E171" s="62"/>
      <c r="F171" s="62"/>
      <c r="G171" s="62"/>
      <c r="H171" s="62"/>
      <c r="I171" s="35">
        <f>Fluxo_de_Caixa_Janeiro3459117[[#This Row],[JULHO]]</f>
        <v>0</v>
      </c>
      <c r="J171" s="62">
        <f>Fluxo_de_Caixa_Janeiro345911710[[#This Row],[AGOSTO]]</f>
        <v>0</v>
      </c>
      <c r="K171" s="62">
        <f>Fluxo_de_Caixa_Janeiro34591171012[[#This Row],[SETEMBRO]]</f>
        <v>0</v>
      </c>
      <c r="L171" s="62"/>
      <c r="M171" s="62"/>
      <c r="N171" s="119"/>
      <c r="O171" s="224">
        <f>SUM(Fluxo_de_Caixa_Janeiro310201314[[#This Row],[Janeiro]:[Dezembro]])</f>
        <v>0</v>
      </c>
      <c r="P171" s="194" t="str">
        <f t="shared" si="10"/>
        <v>0,00%</v>
      </c>
      <c r="Q171" s="75"/>
      <c r="R171" s="32" t="str">
        <f>IF(Fluxo_de_Caixa_Janeiro310201314[[#This Row],[% ACUMULADO  3º SEMEST 2026]]&lt;=Fluxo_de_Caixa_Janeiro310201314[[#This Row],[Coluna1]],"VERDADEIRO","FALSO")</f>
        <v>FALSO</v>
      </c>
    </row>
    <row r="172" spans="1:18" x14ac:dyDescent="0.25">
      <c r="B172" s="55" t="str">
        <f>Fluxo_de_Caixa_Janeiro[[#This Row],[Fluxo de Caixa 2026 CTR]]</f>
        <v>3.5.05. Aluguel Predial</v>
      </c>
      <c r="C172" s="35"/>
      <c r="D172" s="62"/>
      <c r="E172" s="62"/>
      <c r="F172" s="62"/>
      <c r="G172" s="62"/>
      <c r="H172" s="62"/>
      <c r="I172" s="35">
        <f>Fluxo_de_Caixa_Janeiro3459117[[#This Row],[JULHO]]</f>
        <v>0</v>
      </c>
      <c r="J172" s="62">
        <f>Fluxo_de_Caixa_Janeiro345911710[[#This Row],[AGOSTO]]</f>
        <v>0</v>
      </c>
      <c r="K172" s="62">
        <f>Fluxo_de_Caixa_Janeiro34591171012[[#This Row],[SETEMBRO]]</f>
        <v>0</v>
      </c>
      <c r="L172" s="62"/>
      <c r="M172" s="62"/>
      <c r="N172" s="119"/>
      <c r="O172" s="224">
        <f>SUM(Fluxo_de_Caixa_Janeiro310201314[[#This Row],[Janeiro]:[Dezembro]])</f>
        <v>0</v>
      </c>
      <c r="P172" s="194" t="str">
        <f t="shared" si="10"/>
        <v>0,00%</v>
      </c>
      <c r="Q172" s="75"/>
      <c r="R172" s="32" t="str">
        <f>IF(Fluxo_de_Caixa_Janeiro310201314[[#This Row],[% ACUMULADO  3º SEMEST 2026]]&lt;=Fluxo_de_Caixa_Janeiro310201314[[#This Row],[Coluna1]],"VERDADEIRO","FALSO")</f>
        <v>FALSO</v>
      </c>
    </row>
    <row r="173" spans="1:18" x14ac:dyDescent="0.25">
      <c r="B173" s="55" t="str">
        <f>Fluxo_de_Caixa_Janeiro[[#This Row],[Fluxo de Caixa 2026 CTR]]</f>
        <v>3.5.06. Aluguel Maquina de Cartão</v>
      </c>
      <c r="C173" s="35"/>
      <c r="D173" s="62"/>
      <c r="E173" s="62"/>
      <c r="F173" s="62"/>
      <c r="G173" s="62"/>
      <c r="H173" s="62"/>
      <c r="I173" s="35">
        <f>Fluxo_de_Caixa_Janeiro3459117[[#This Row],[JULHO]]</f>
        <v>0</v>
      </c>
      <c r="J173" s="62">
        <f>Fluxo_de_Caixa_Janeiro345911710[[#This Row],[AGOSTO]]</f>
        <v>0</v>
      </c>
      <c r="K173" s="62">
        <f>Fluxo_de_Caixa_Janeiro34591171012[[#This Row],[SETEMBRO]]</f>
        <v>0</v>
      </c>
      <c r="L173" s="62"/>
      <c r="M173" s="62"/>
      <c r="N173" s="119"/>
      <c r="O173" s="224">
        <f>SUM(Fluxo_de_Caixa_Janeiro310201314[[#This Row],[Janeiro]:[Dezembro]])</f>
        <v>0</v>
      </c>
      <c r="P173" s="194" t="str">
        <f t="shared" si="10"/>
        <v>0,00%</v>
      </c>
      <c r="Q173" s="75"/>
      <c r="R173" s="32" t="str">
        <f>IF(Fluxo_de_Caixa_Janeiro310201314[[#This Row],[% ACUMULADO  3º SEMEST 2026]]&lt;=Fluxo_de_Caixa_Janeiro310201314[[#This Row],[Coluna1]],"VERDADEIRO","FALSO")</f>
        <v>FALSO</v>
      </c>
    </row>
    <row r="174" spans="1:18" x14ac:dyDescent="0.25">
      <c r="B174" s="169" t="str">
        <f>Fluxo_de_Caixa_Janeiro[[#This Row],[Fluxo de Caixa 2026 CTR]]</f>
        <v>3.5.07. Empresa de Vigilância e Monitoramento</v>
      </c>
      <c r="C174" s="41"/>
      <c r="D174" s="81"/>
      <c r="E174" s="81"/>
      <c r="F174" s="81"/>
      <c r="G174" s="81"/>
      <c r="H174" s="81"/>
      <c r="I174" s="41">
        <f>Fluxo_de_Caixa_Janeiro3459117[[#This Row],[JULHO]]</f>
        <v>0</v>
      </c>
      <c r="J174" s="81">
        <f>Fluxo_de_Caixa_Janeiro345911710[[#This Row],[AGOSTO]]</f>
        <v>0</v>
      </c>
      <c r="K174" s="81">
        <f>Fluxo_de_Caixa_Janeiro34591171012[[#This Row],[SETEMBRO]]</f>
        <v>0</v>
      </c>
      <c r="L174" s="81"/>
      <c r="M174" s="81"/>
      <c r="N174" s="118"/>
      <c r="O174" s="223">
        <f>SUM(Fluxo_de_Caixa_Janeiro310201314[[#This Row],[Janeiro]:[Dezembro]])</f>
        <v>0</v>
      </c>
      <c r="P174" s="193" t="str">
        <f t="shared" si="10"/>
        <v>0,00%</v>
      </c>
      <c r="Q174" s="93"/>
      <c r="R174" s="32" t="str">
        <f>IF(Fluxo_de_Caixa_Janeiro310201314[[#This Row],[% ACUMULADO  3º SEMEST 2026]]&lt;=Fluxo_de_Caixa_Janeiro310201314[[#This Row],[Coluna1]],"VERDADEIRO","FALSO")</f>
        <v>FALSO</v>
      </c>
    </row>
    <row r="175" spans="1:18" hidden="1" x14ac:dyDescent="0.25">
      <c r="B175" s="55">
        <f>Fluxo_de_Caixa_Janeiro[[#This Row],[Fluxo de Caixa 2026 CTR]]</f>
        <v>0</v>
      </c>
      <c r="C175" s="35"/>
      <c r="D175" s="62"/>
      <c r="E175" s="62"/>
      <c r="F175" s="62"/>
      <c r="G175" s="62"/>
      <c r="H175" s="62"/>
      <c r="I175" s="35">
        <f>Fluxo_de_Caixa_Janeiro3459117[[#This Row],[JULHO]]</f>
        <v>0</v>
      </c>
      <c r="J175" s="62">
        <f>Fluxo_de_Caixa_Janeiro345911710[[#This Row],[AGOSTO]]</f>
        <v>0</v>
      </c>
      <c r="K175" s="62">
        <f>Fluxo_de_Caixa_Janeiro34591171012[[#This Row],[SETEMBRO]]</f>
        <v>0</v>
      </c>
      <c r="L175" s="62"/>
      <c r="M175" s="62"/>
      <c r="N175" s="119"/>
      <c r="O175" s="224">
        <f>SUM(Fluxo_de_Caixa_Janeiro310201314[[#This Row],[Janeiro]:[Dezembro]])</f>
        <v>0</v>
      </c>
      <c r="P175" s="194" t="str">
        <f t="shared" si="10"/>
        <v>0,00%</v>
      </c>
      <c r="Q175" s="75"/>
      <c r="R175" s="32" t="str">
        <f>IF(Fluxo_de_Caixa_Janeiro310201314[[#This Row],[% ACUMULADO  3º SEMEST 2026]]&lt;=Fluxo_de_Caixa_Janeiro310201314[[#This Row],[Coluna1]],"VERDADEIRO","FALSO")</f>
        <v>FALSO</v>
      </c>
    </row>
    <row r="176" spans="1:18" x14ac:dyDescent="0.25">
      <c r="B176" s="55" t="str">
        <f>Fluxo_de_Caixa_Janeiro[[#This Row],[Fluxo de Caixa 2026 CTR]]</f>
        <v>3.5.09. Sindicato Patronal / Entidades de apoio Comercio/Indus</v>
      </c>
      <c r="C176" s="35"/>
      <c r="D176" s="62"/>
      <c r="E176" s="62"/>
      <c r="F176" s="62"/>
      <c r="G176" s="62"/>
      <c r="H176" s="62"/>
      <c r="I176" s="35">
        <f>Fluxo_de_Caixa_Janeiro3459117[[#This Row],[JULHO]]</f>
        <v>0</v>
      </c>
      <c r="J176" s="62">
        <f>Fluxo_de_Caixa_Janeiro345911710[[#This Row],[AGOSTO]]</f>
        <v>0</v>
      </c>
      <c r="K176" s="62">
        <f>Fluxo_de_Caixa_Janeiro34591171012[[#This Row],[SETEMBRO]]</f>
        <v>0</v>
      </c>
      <c r="L176" s="62"/>
      <c r="M176" s="62"/>
      <c r="N176" s="119"/>
      <c r="O176" s="224">
        <f>SUM(Fluxo_de_Caixa_Janeiro310201314[[#This Row],[Janeiro]:[Dezembro]])</f>
        <v>0</v>
      </c>
      <c r="P176" s="194" t="str">
        <f t="shared" si="10"/>
        <v>0,00%</v>
      </c>
      <c r="Q176" s="75"/>
      <c r="R176" s="32" t="str">
        <f>IF(Fluxo_de_Caixa_Janeiro310201314[[#This Row],[% ACUMULADO  3º SEMEST 2026]]&lt;=Fluxo_de_Caixa_Janeiro310201314[[#This Row],[Coluna1]],"VERDADEIRO","FALSO")</f>
        <v>FALSO</v>
      </c>
    </row>
    <row r="177" spans="2:18" ht="15.75" thickBot="1" x14ac:dyDescent="0.3">
      <c r="B177" s="55" t="str">
        <f>Fluxo_de_Caixa_Janeiro[[#This Row],[Fluxo de Caixa 2026 CTR]]</f>
        <v>3.5.10. Honorarios Contabilidade</v>
      </c>
      <c r="C177" s="35"/>
      <c r="D177" s="62"/>
      <c r="E177" s="62"/>
      <c r="F177" s="62"/>
      <c r="G177" s="62"/>
      <c r="H177" s="62"/>
      <c r="I177" s="35">
        <f>Fluxo_de_Caixa_Janeiro3459117[[#This Row],[JULHO]]</f>
        <v>0</v>
      </c>
      <c r="J177" s="62">
        <f>Fluxo_de_Caixa_Janeiro345911710[[#This Row],[AGOSTO]]</f>
        <v>0</v>
      </c>
      <c r="K177" s="62">
        <f>Fluxo_de_Caixa_Janeiro34591171012[[#This Row],[SETEMBRO]]</f>
        <v>0</v>
      </c>
      <c r="L177" s="62"/>
      <c r="M177" s="62"/>
      <c r="N177" s="119"/>
      <c r="O177" s="224">
        <f>SUM(Fluxo_de_Caixa_Janeiro310201314[[#This Row],[Janeiro]:[Dezembro]])</f>
        <v>0</v>
      </c>
      <c r="P177" s="194" t="str">
        <f t="shared" si="10"/>
        <v>0,00%</v>
      </c>
      <c r="Q177" s="75"/>
      <c r="R177" s="32" t="str">
        <f>IF(Fluxo_de_Caixa_Janeiro310201314[[#This Row],[% ACUMULADO  3º SEMEST 2026]]&lt;=Fluxo_de_Caixa_Janeiro310201314[[#This Row],[Coluna1]],"VERDADEIRO","FALSO")</f>
        <v>FALSO</v>
      </c>
    </row>
    <row r="178" spans="2:18" ht="15.75" hidden="1" thickBot="1" x14ac:dyDescent="0.3">
      <c r="B178" s="55" t="str">
        <f>Fluxo_de_Caixa_Janeiro[[#This Row],[Fluxo de Caixa 2026 CTR]]</f>
        <v>3.5.10.01. DECIMO TERCEIRO CONTABILIDADE</v>
      </c>
      <c r="C178" s="35"/>
      <c r="D178" s="62"/>
      <c r="E178" s="62"/>
      <c r="F178" s="62"/>
      <c r="G178" s="62"/>
      <c r="H178" s="62"/>
      <c r="I178" s="35">
        <f>Fluxo_de_Caixa_Janeiro3459117[[#This Row],[JULHO]]</f>
        <v>0</v>
      </c>
      <c r="J178" s="62">
        <f>Fluxo_de_Caixa_Janeiro345911710[[#This Row],[AGOSTO]]</f>
        <v>0</v>
      </c>
      <c r="K178" s="62">
        <f>Fluxo_de_Caixa_Janeiro34591171012[[#This Row],[SETEMBRO]]</f>
        <v>0</v>
      </c>
      <c r="L178" s="62"/>
      <c r="M178" s="62"/>
      <c r="N178" s="119"/>
      <c r="O178" s="224">
        <f>SUM(Fluxo_de_Caixa_Janeiro310201314[[#This Row],[Janeiro]:[Dezembro]])</f>
        <v>0</v>
      </c>
      <c r="P178" s="194" t="str">
        <f t="shared" si="10"/>
        <v>0,00%</v>
      </c>
      <c r="Q178" s="75"/>
      <c r="R178" s="32" t="str">
        <f>IF(Fluxo_de_Caixa_Janeiro310201314[[#This Row],[% ACUMULADO  3º SEMEST 2026]]&lt;=Fluxo_de_Caixa_Janeiro310201314[[#This Row],[Coluna1]],"VERDADEIRO","FALSO")</f>
        <v>FALSO</v>
      </c>
    </row>
    <row r="179" spans="2:18" ht="15.75" hidden="1" thickBot="1" x14ac:dyDescent="0.3">
      <c r="B179" s="55">
        <f>Fluxo_de_Caixa_Janeiro[[#This Row],[Fluxo de Caixa 2026 CTR]]</f>
        <v>0</v>
      </c>
      <c r="C179" s="35"/>
      <c r="D179" s="62"/>
      <c r="E179" s="62"/>
      <c r="F179" s="62"/>
      <c r="G179" s="62"/>
      <c r="H179" s="62"/>
      <c r="I179" s="35">
        <f>Fluxo_de_Caixa_Janeiro3459117[[#This Row],[JULHO]]</f>
        <v>0</v>
      </c>
      <c r="J179" s="62">
        <f>Fluxo_de_Caixa_Janeiro345911710[[#This Row],[AGOSTO]]</f>
        <v>0</v>
      </c>
      <c r="K179" s="62">
        <f>Fluxo_de_Caixa_Janeiro34591171012[[#This Row],[SETEMBRO]]</f>
        <v>0</v>
      </c>
      <c r="L179" s="62"/>
      <c r="M179" s="62"/>
      <c r="N179" s="119"/>
      <c r="O179" s="224">
        <f>SUM(Fluxo_de_Caixa_Janeiro310201314[[#This Row],[Janeiro]:[Dezembro]])</f>
        <v>0</v>
      </c>
      <c r="P179" s="194" t="str">
        <f t="shared" si="10"/>
        <v>0,00%</v>
      </c>
      <c r="Q179" s="75"/>
      <c r="R179" s="32" t="str">
        <f>IF(Fluxo_de_Caixa_Janeiro310201314[[#This Row],[% ACUMULADO  3º SEMEST 2026]]&lt;=Fluxo_de_Caixa_Janeiro310201314[[#This Row],[Coluna1]],"VERDADEIRO","FALSO")</f>
        <v>FALSO</v>
      </c>
    </row>
    <row r="180" spans="2:18" ht="15.75" hidden="1" thickBot="1" x14ac:dyDescent="0.3">
      <c r="B180" s="55">
        <f>Fluxo_de_Caixa_Janeiro[[#This Row],[Fluxo de Caixa 2026 CTR]]</f>
        <v>0</v>
      </c>
      <c r="C180" s="35"/>
      <c r="D180" s="62"/>
      <c r="E180" s="62"/>
      <c r="F180" s="62"/>
      <c r="G180" s="62"/>
      <c r="H180" s="62"/>
      <c r="I180" s="35">
        <f>Fluxo_de_Caixa_Janeiro3459117[[#This Row],[JULHO]]</f>
        <v>0</v>
      </c>
      <c r="J180" s="62">
        <f>Fluxo_de_Caixa_Janeiro345911710[[#This Row],[AGOSTO]]</f>
        <v>0</v>
      </c>
      <c r="K180" s="62">
        <f>Fluxo_de_Caixa_Janeiro34591171012[[#This Row],[SETEMBRO]]</f>
        <v>0</v>
      </c>
      <c r="L180" s="62"/>
      <c r="M180" s="62"/>
      <c r="N180" s="119"/>
      <c r="O180" s="224">
        <f>SUM(Fluxo_de_Caixa_Janeiro310201314[[#This Row],[Janeiro]:[Dezembro]])</f>
        <v>0</v>
      </c>
      <c r="P180" s="194" t="str">
        <f t="shared" si="10"/>
        <v>0,00%</v>
      </c>
      <c r="Q180" s="75"/>
      <c r="R180" s="32" t="str">
        <f>IF(Fluxo_de_Caixa_Janeiro310201314[[#This Row],[% ACUMULADO  3º SEMEST 2026]]&lt;=Fluxo_de_Caixa_Janeiro310201314[[#This Row],[Coluna1]],"VERDADEIRO","FALSO")</f>
        <v>FALSO</v>
      </c>
    </row>
    <row r="181" spans="2:18" ht="15.75" hidden="1" thickBot="1" x14ac:dyDescent="0.3">
      <c r="B181" s="55">
        <f>Fluxo_de_Caixa_Janeiro[[#This Row],[Fluxo de Caixa 2026 CTR]]</f>
        <v>0</v>
      </c>
      <c r="C181" s="35"/>
      <c r="D181" s="62"/>
      <c r="E181" s="62"/>
      <c r="F181" s="62"/>
      <c r="G181" s="62"/>
      <c r="H181" s="62"/>
      <c r="I181" s="35">
        <f>Fluxo_de_Caixa_Janeiro3459117[[#This Row],[JULHO]]</f>
        <v>0</v>
      </c>
      <c r="J181" s="62">
        <f>Fluxo_de_Caixa_Janeiro345911710[[#This Row],[AGOSTO]]</f>
        <v>0</v>
      </c>
      <c r="K181" s="62">
        <f>Fluxo_de_Caixa_Janeiro34591171012[[#This Row],[SETEMBRO]]</f>
        <v>0</v>
      </c>
      <c r="L181" s="62"/>
      <c r="M181" s="62"/>
      <c r="N181" s="119"/>
      <c r="O181" s="224">
        <f>SUM(Fluxo_de_Caixa_Janeiro310201314[[#This Row],[Janeiro]:[Dezembro]])</f>
        <v>0</v>
      </c>
      <c r="P181" s="194" t="str">
        <f t="shared" si="10"/>
        <v>0,00%</v>
      </c>
      <c r="Q181" s="75"/>
      <c r="R181" s="32" t="str">
        <f>IF(Fluxo_de_Caixa_Janeiro310201314[[#This Row],[% ACUMULADO  3º SEMEST 2026]]&lt;=Fluxo_de_Caixa_Janeiro310201314[[#This Row],[Coluna1]],"VERDADEIRO","FALSO")</f>
        <v>FALSO</v>
      </c>
    </row>
    <row r="182" spans="2:18" ht="19.5" thickBot="1" x14ac:dyDescent="0.35">
      <c r="B182" s="277" t="str">
        <f>Fluxo_de_Caixa_Janeiro[[#This Row],[Fluxo de Caixa 2026 CTR]]</f>
        <v>3.6. DESPESAS FINANCEIRAS</v>
      </c>
      <c r="C182" s="158"/>
      <c r="D182" s="97"/>
      <c r="E182" s="97"/>
      <c r="F182" s="97"/>
      <c r="G182" s="97"/>
      <c r="H182" s="97"/>
      <c r="I182" s="158">
        <f>Fluxo_de_Caixa_Janeiro3459117[[#This Row],[JULHO]]</f>
        <v>0</v>
      </c>
      <c r="J182" s="97">
        <f>Fluxo_de_Caixa_Janeiro345911710[[#This Row],[AGOSTO]]</f>
        <v>0</v>
      </c>
      <c r="K182" s="97">
        <f>Fluxo_de_Caixa_Janeiro34591171012[[#This Row],[SETEMBRO]]</f>
        <v>0</v>
      </c>
      <c r="L182" s="97"/>
      <c r="M182" s="97"/>
      <c r="N182" s="129"/>
      <c r="O182" s="226">
        <f>SUM(Fluxo_de_Caixa_Janeiro310201314[[#This Row],[Janeiro]:[Dezembro]])</f>
        <v>0</v>
      </c>
      <c r="P182" s="144">
        <f>-IFERROR(O182/$O$27,"0,00")</f>
        <v>0</v>
      </c>
      <c r="Q182" s="98"/>
      <c r="R182" s="32" t="str">
        <f>IF(Fluxo_de_Caixa_Janeiro310201314[[#This Row],[% ACUMULADO  3º SEMEST 2026]]&lt;=Fluxo_de_Caixa_Janeiro310201314[[#This Row],[Coluna1]],"VERDADEIRO","FALSO")</f>
        <v>VERDADEIRO</v>
      </c>
    </row>
    <row r="183" spans="2:18" x14ac:dyDescent="0.25">
      <c r="B183" s="386" t="str">
        <f>Fluxo_de_Caixa_Janeiro[[#This Row],[Fluxo de Caixa 2026 CTR]]</f>
        <v xml:space="preserve">3.6.01. Tarifas Bancárias </v>
      </c>
      <c r="C183" s="36"/>
      <c r="D183" s="82"/>
      <c r="E183" s="82"/>
      <c r="F183" s="82"/>
      <c r="G183" s="82"/>
      <c r="H183" s="82"/>
      <c r="I183" s="36">
        <f>Fluxo_de_Caixa_Janeiro3459117[[#This Row],[JULHO]]</f>
        <v>0</v>
      </c>
      <c r="J183" s="82">
        <f>Fluxo_de_Caixa_Janeiro345911710[[#This Row],[AGOSTO]]</f>
        <v>0</v>
      </c>
      <c r="K183" s="82">
        <f>Fluxo_de_Caixa_Janeiro34591171012[[#This Row],[SETEMBRO]]</f>
        <v>0</v>
      </c>
      <c r="L183" s="82"/>
      <c r="M183" s="82"/>
      <c r="N183" s="120"/>
      <c r="O183" s="225">
        <f>SUM(Fluxo_de_Caixa_Janeiro310201314[[#This Row],[Janeiro]:[Dezembro]])</f>
        <v>0</v>
      </c>
      <c r="P183" s="195" t="str">
        <f t="shared" ref="P183:P199" si="11">IFERROR(O183/$O$27,"0,00%")</f>
        <v>0,00%</v>
      </c>
      <c r="Q183" s="96"/>
      <c r="R183" s="32" t="str">
        <f>IF(Fluxo_de_Caixa_Janeiro310201314[[#This Row],[% ACUMULADO  3º SEMEST 2026]]&lt;=Fluxo_de_Caixa_Janeiro310201314[[#This Row],[Coluna1]],"VERDADEIRO","FALSO")</f>
        <v>FALSO</v>
      </c>
    </row>
    <row r="184" spans="2:18" x14ac:dyDescent="0.25">
      <c r="B184" s="385" t="str">
        <f>Fluxo_de_Caixa_Janeiro[[#This Row],[Fluxo de Caixa 2026 CTR]]</f>
        <v>3.6.02. IOF</v>
      </c>
      <c r="C184" s="357"/>
      <c r="D184" s="306"/>
      <c r="E184" s="306"/>
      <c r="F184" s="306"/>
      <c r="G184" s="306"/>
      <c r="H184" s="306"/>
      <c r="I184" s="357">
        <f>Fluxo_de_Caixa_Janeiro3459117[[#This Row],[JULHO]]</f>
        <v>0</v>
      </c>
      <c r="J184" s="306">
        <f>Fluxo_de_Caixa_Janeiro345911710[[#This Row],[AGOSTO]]</f>
        <v>0</v>
      </c>
      <c r="K184" s="306">
        <f>Fluxo_de_Caixa_Janeiro34591171012[[#This Row],[SETEMBRO]]</f>
        <v>0</v>
      </c>
      <c r="L184" s="306"/>
      <c r="M184" s="306"/>
      <c r="N184" s="306"/>
      <c r="O184" s="225">
        <f>SUM(Fluxo_de_Caixa_Janeiro310201314[[#This Row],[Janeiro]:[Dezembro]])</f>
        <v>0</v>
      </c>
      <c r="P184" s="195" t="str">
        <f t="shared" si="11"/>
        <v>0,00%</v>
      </c>
      <c r="Q184" s="96"/>
      <c r="R184" s="32"/>
    </row>
    <row r="185" spans="2:18" hidden="1" x14ac:dyDescent="0.25">
      <c r="B185" s="385" t="str">
        <f>Fluxo_de_Caixa_Janeiro[[#This Row],[Fluxo de Caixa 2026 CTR]]</f>
        <v>3.6.03. Perdas e Devedores Duvidosos</v>
      </c>
      <c r="C185" s="357"/>
      <c r="D185" s="306"/>
      <c r="E185" s="306"/>
      <c r="F185" s="306"/>
      <c r="G185" s="306"/>
      <c r="H185" s="306"/>
      <c r="I185" s="357">
        <f>Fluxo_de_Caixa_Janeiro3459117[[#This Row],[JULHO]]</f>
        <v>0</v>
      </c>
      <c r="J185" s="306">
        <f>Fluxo_de_Caixa_Janeiro345911710[[#This Row],[AGOSTO]]</f>
        <v>0</v>
      </c>
      <c r="K185" s="306">
        <f>Fluxo_de_Caixa_Janeiro34591171012[[#This Row],[SETEMBRO]]</f>
        <v>0</v>
      </c>
      <c r="L185" s="306"/>
      <c r="M185" s="306"/>
      <c r="N185" s="306"/>
      <c r="O185" s="225">
        <f>SUM(Fluxo_de_Caixa_Janeiro310201314[[#This Row],[Janeiro]:[Dezembro]])</f>
        <v>0</v>
      </c>
      <c r="P185" s="195" t="str">
        <f t="shared" si="11"/>
        <v>0,00%</v>
      </c>
      <c r="Q185" s="96"/>
      <c r="R185" s="32"/>
    </row>
    <row r="186" spans="2:18" hidden="1" x14ac:dyDescent="0.25">
      <c r="B186" s="385">
        <f>Fluxo_de_Caixa_Janeiro[[#This Row],[Fluxo de Caixa 2026 CTR]]</f>
        <v>0</v>
      </c>
      <c r="C186" s="357"/>
      <c r="D186" s="306"/>
      <c r="E186" s="306"/>
      <c r="F186" s="306"/>
      <c r="G186" s="306"/>
      <c r="H186" s="306"/>
      <c r="I186" s="357">
        <f>Fluxo_de_Caixa_Janeiro3459117[[#This Row],[JULHO]]</f>
        <v>0</v>
      </c>
      <c r="J186" s="306">
        <f>Fluxo_de_Caixa_Janeiro345911710[[#This Row],[AGOSTO]]</f>
        <v>0</v>
      </c>
      <c r="K186" s="306">
        <f>Fluxo_de_Caixa_Janeiro34591171012[[#This Row],[SETEMBRO]]</f>
        <v>0</v>
      </c>
      <c r="L186" s="306"/>
      <c r="M186" s="306"/>
      <c r="N186" s="306"/>
      <c r="O186" s="225">
        <f>SUM(Fluxo_de_Caixa_Janeiro310201314[[#This Row],[Janeiro]:[Dezembro]])</f>
        <v>0</v>
      </c>
      <c r="P186" s="195" t="str">
        <f t="shared" si="11"/>
        <v>0,00%</v>
      </c>
      <c r="Q186" s="96"/>
      <c r="R186" s="32"/>
    </row>
    <row r="187" spans="2:18" x14ac:dyDescent="0.25">
      <c r="B187" s="385" t="str">
        <f>Fluxo_de_Caixa_Janeiro[[#This Row],[Fluxo de Caixa 2026 CTR]]</f>
        <v>3.6.05.MULTA E JUROS DE MORA PAGAMENTO</v>
      </c>
      <c r="C187" s="357"/>
      <c r="D187" s="306"/>
      <c r="E187" s="306"/>
      <c r="F187" s="306"/>
      <c r="G187" s="306"/>
      <c r="H187" s="306"/>
      <c r="I187" s="357">
        <f>Fluxo_de_Caixa_Janeiro3459117[[#This Row],[JULHO]]</f>
        <v>0</v>
      </c>
      <c r="J187" s="306">
        <f>Fluxo_de_Caixa_Janeiro345911710[[#This Row],[AGOSTO]]</f>
        <v>0</v>
      </c>
      <c r="K187" s="306">
        <f>Fluxo_de_Caixa_Janeiro34591171012[[#This Row],[SETEMBRO]]</f>
        <v>0</v>
      </c>
      <c r="L187" s="306"/>
      <c r="M187" s="306"/>
      <c r="N187" s="306"/>
      <c r="O187" s="225">
        <f>SUM(Fluxo_de_Caixa_Janeiro310201314[[#This Row],[Janeiro]:[Dezembro]])</f>
        <v>0</v>
      </c>
      <c r="P187" s="195" t="str">
        <f t="shared" si="11"/>
        <v>0,00%</v>
      </c>
      <c r="Q187" s="96"/>
      <c r="R187" s="32"/>
    </row>
    <row r="188" spans="2:18" hidden="1" x14ac:dyDescent="0.25">
      <c r="B188" s="385">
        <f>Fluxo_de_Caixa_Janeiro[[#This Row],[Fluxo de Caixa 2026 CTR]]</f>
        <v>0</v>
      </c>
      <c r="C188" s="357"/>
      <c r="D188" s="306"/>
      <c r="E188" s="306"/>
      <c r="F188" s="306"/>
      <c r="G188" s="306"/>
      <c r="H188" s="306"/>
      <c r="I188" s="357">
        <f>Fluxo_de_Caixa_Janeiro3459117[[#This Row],[JULHO]]</f>
        <v>0</v>
      </c>
      <c r="J188" s="306">
        <f>Fluxo_de_Caixa_Janeiro345911710[[#This Row],[AGOSTO]]</f>
        <v>0</v>
      </c>
      <c r="K188" s="306">
        <f>Fluxo_de_Caixa_Janeiro34591171012[[#This Row],[SETEMBRO]]</f>
        <v>0</v>
      </c>
      <c r="L188" s="306"/>
      <c r="M188" s="306"/>
      <c r="N188" s="306"/>
      <c r="O188" s="225">
        <f>SUM(Fluxo_de_Caixa_Janeiro310201314[[#This Row],[Janeiro]:[Dezembro]])</f>
        <v>0</v>
      </c>
      <c r="P188" s="195" t="str">
        <f t="shared" si="11"/>
        <v>0,00%</v>
      </c>
      <c r="Q188" s="96"/>
      <c r="R188" s="32"/>
    </row>
    <row r="189" spans="2:18" x14ac:dyDescent="0.25">
      <c r="B189" s="385" t="str">
        <f>Fluxo_de_Caixa_Janeiro[[#This Row],[Fluxo de Caixa 2026 CTR]]</f>
        <v>3.6.07.FALTA ACERTO CAIXA</v>
      </c>
      <c r="C189" s="357"/>
      <c r="D189" s="306"/>
      <c r="E189" s="306"/>
      <c r="F189" s="306"/>
      <c r="G189" s="306"/>
      <c r="H189" s="306"/>
      <c r="I189" s="357">
        <f>Fluxo_de_Caixa_Janeiro3459117[[#This Row],[JULHO]]</f>
        <v>0</v>
      </c>
      <c r="J189" s="306">
        <f>Fluxo_de_Caixa_Janeiro345911710[[#This Row],[AGOSTO]]</f>
        <v>0</v>
      </c>
      <c r="K189" s="306">
        <f>Fluxo_de_Caixa_Janeiro34591171012[[#This Row],[SETEMBRO]]</f>
        <v>0</v>
      </c>
      <c r="L189" s="306"/>
      <c r="M189" s="306"/>
      <c r="N189" s="306"/>
      <c r="O189" s="225">
        <f>SUM(Fluxo_de_Caixa_Janeiro310201314[[#This Row],[Janeiro]:[Dezembro]])</f>
        <v>0</v>
      </c>
      <c r="P189" s="195" t="str">
        <f t="shared" si="11"/>
        <v>0,00%</v>
      </c>
      <c r="Q189" s="96"/>
      <c r="R189" s="32"/>
    </row>
    <row r="190" spans="2:18" x14ac:dyDescent="0.25">
      <c r="B190" s="385" t="str">
        <f>Fluxo_de_Caixa_Janeiro[[#This Row],[Fluxo de Caixa 2026 CTR]]</f>
        <v>3.6.08. Juros Sobre Emprestimos</v>
      </c>
      <c r="C190" s="357"/>
      <c r="D190" s="306"/>
      <c r="E190" s="306"/>
      <c r="F190" s="306"/>
      <c r="G190" s="306"/>
      <c r="H190" s="306"/>
      <c r="I190" s="357">
        <f>Fluxo_de_Caixa_Janeiro3459117[[#This Row],[JULHO]]</f>
        <v>0</v>
      </c>
      <c r="J190" s="306">
        <f>Fluxo_de_Caixa_Janeiro345911710[[#This Row],[AGOSTO]]</f>
        <v>0</v>
      </c>
      <c r="K190" s="306">
        <f>Fluxo_de_Caixa_Janeiro34591171012[[#This Row],[SETEMBRO]]</f>
        <v>0</v>
      </c>
      <c r="L190" s="306"/>
      <c r="M190" s="306"/>
      <c r="N190" s="306"/>
      <c r="O190" s="225">
        <f>SUM(Fluxo_de_Caixa_Janeiro310201314[[#This Row],[Janeiro]:[Dezembro]])</f>
        <v>0</v>
      </c>
      <c r="P190" s="195" t="str">
        <f t="shared" si="11"/>
        <v>0,00%</v>
      </c>
      <c r="Q190" s="96"/>
      <c r="R190" s="32"/>
    </row>
    <row r="191" spans="2:18" x14ac:dyDescent="0.25">
      <c r="B191" s="385" t="str">
        <f>Fluxo_de_Caixa_Janeiro[[#This Row],[Fluxo de Caixa 2026 CTR]]</f>
        <v>3.6.09.RECUPERACAO DE CRED DEVEDOR DUV</v>
      </c>
      <c r="C191" s="357"/>
      <c r="D191" s="306"/>
      <c r="E191" s="306"/>
      <c r="F191" s="306"/>
      <c r="G191" s="306"/>
      <c r="H191" s="306"/>
      <c r="I191" s="357">
        <f>Fluxo_de_Caixa_Janeiro3459117[[#This Row],[JULHO]]</f>
        <v>0</v>
      </c>
      <c r="J191" s="306">
        <f>Fluxo_de_Caixa_Janeiro345911710[[#This Row],[AGOSTO]]</f>
        <v>0</v>
      </c>
      <c r="K191" s="306">
        <f>Fluxo_de_Caixa_Janeiro34591171012[[#This Row],[SETEMBRO]]</f>
        <v>0</v>
      </c>
      <c r="L191" s="306"/>
      <c r="M191" s="306"/>
      <c r="N191" s="306"/>
      <c r="O191" s="225">
        <f>SUM(Fluxo_de_Caixa_Janeiro310201314[[#This Row],[Janeiro]:[Dezembro]])</f>
        <v>0</v>
      </c>
      <c r="P191" s="195" t="str">
        <f t="shared" si="11"/>
        <v>0,00%</v>
      </c>
      <c r="Q191" s="96"/>
      <c r="R191" s="32"/>
    </row>
    <row r="192" spans="2:18" x14ac:dyDescent="0.25">
      <c r="B192" s="385" t="str">
        <f>Fluxo_de_Caixa_Janeiro[[#This Row],[Fluxo de Caixa 2026 CTR]]</f>
        <v>3.6.10.DESCONTOS OBTIDOS</v>
      </c>
      <c r="C192" s="357"/>
      <c r="D192" s="306"/>
      <c r="E192" s="306"/>
      <c r="F192" s="306"/>
      <c r="G192" s="306"/>
      <c r="H192" s="306"/>
      <c r="I192" s="357">
        <f>Fluxo_de_Caixa_Janeiro3459117[[#This Row],[JULHO]]</f>
        <v>0</v>
      </c>
      <c r="J192" s="306">
        <f>Fluxo_de_Caixa_Janeiro345911710[[#This Row],[AGOSTO]]</f>
        <v>0</v>
      </c>
      <c r="K192" s="306">
        <f>Fluxo_de_Caixa_Janeiro34591171012[[#This Row],[SETEMBRO]]</f>
        <v>0</v>
      </c>
      <c r="L192" s="306"/>
      <c r="M192" s="306"/>
      <c r="N192" s="306"/>
      <c r="O192" s="225">
        <f>SUM(Fluxo_de_Caixa_Janeiro310201314[[#This Row],[Janeiro]:[Dezembro]])</f>
        <v>0</v>
      </c>
      <c r="P192" s="195" t="str">
        <f t="shared" si="11"/>
        <v>0,00%</v>
      </c>
      <c r="Q192" s="96"/>
      <c r="R192" s="32"/>
    </row>
    <row r="193" spans="2:18" hidden="1" x14ac:dyDescent="0.25">
      <c r="B193" s="385">
        <f>Fluxo_de_Caixa_Janeiro[[#This Row],[Fluxo de Caixa 2026 CTR]]</f>
        <v>0</v>
      </c>
      <c r="C193" s="357"/>
      <c r="D193" s="306"/>
      <c r="E193" s="306"/>
      <c r="F193" s="306"/>
      <c r="G193" s="306"/>
      <c r="H193" s="306"/>
      <c r="I193" s="357">
        <f>Fluxo_de_Caixa_Janeiro3459117[[#This Row],[JULHO]]</f>
        <v>0</v>
      </c>
      <c r="J193" s="306">
        <f>Fluxo_de_Caixa_Janeiro345911710[[#This Row],[AGOSTO]]</f>
        <v>0</v>
      </c>
      <c r="K193" s="306">
        <f>Fluxo_de_Caixa_Janeiro34591171012[[#This Row],[SETEMBRO]]</f>
        <v>0</v>
      </c>
      <c r="L193" s="306"/>
      <c r="M193" s="306"/>
      <c r="N193" s="306"/>
      <c r="O193" s="224">
        <f>SUM(Fluxo_de_Caixa_Janeiro310201314[[#This Row],[Janeiro]:[Dezembro]])</f>
        <v>0</v>
      </c>
      <c r="P193" s="194" t="str">
        <f t="shared" si="11"/>
        <v>0,00%</v>
      </c>
      <c r="Q193" s="75"/>
      <c r="R193" s="32"/>
    </row>
    <row r="194" spans="2:18" hidden="1" x14ac:dyDescent="0.25">
      <c r="B194" s="169" t="str">
        <f>Fluxo_de_Caixa_Janeiro[[#This Row],[Fluxo de Caixa 2026 CTR]]</f>
        <v>3.6.12.JUROS DESCONTO DE BOLETOS</v>
      </c>
      <c r="C194" s="41"/>
      <c r="D194" s="81"/>
      <c r="E194" s="81"/>
      <c r="F194" s="81"/>
      <c r="G194" s="81"/>
      <c r="H194" s="81"/>
      <c r="I194" s="41">
        <f>Fluxo_de_Caixa_Janeiro3459117[[#This Row],[JULHO]]</f>
        <v>0</v>
      </c>
      <c r="J194" s="81">
        <f>Fluxo_de_Caixa_Janeiro345911710[[#This Row],[AGOSTO]]</f>
        <v>0</v>
      </c>
      <c r="K194" s="81">
        <f>Fluxo_de_Caixa_Janeiro34591171012[[#This Row],[SETEMBRO]]</f>
        <v>0</v>
      </c>
      <c r="L194" s="81"/>
      <c r="M194" s="81"/>
      <c r="N194" s="118"/>
      <c r="O194" s="223">
        <f>SUM(Fluxo_de_Caixa_Janeiro310201314[[#This Row],[Janeiro]:[Dezembro]])</f>
        <v>0</v>
      </c>
      <c r="P194" s="193" t="str">
        <f t="shared" si="11"/>
        <v>0,00%</v>
      </c>
      <c r="Q194" s="93"/>
      <c r="R194" s="32" t="str">
        <f>IF(Fluxo_de_Caixa_Janeiro310201314[[#This Row],[% ACUMULADO  3º SEMEST 2026]]&lt;=Fluxo_de_Caixa_Janeiro310201314[[#This Row],[Coluna1]],"VERDADEIRO","FALSO")</f>
        <v>FALSO</v>
      </c>
    </row>
    <row r="195" spans="2:18" hidden="1" x14ac:dyDescent="0.25">
      <c r="B195" s="55">
        <f>Fluxo_de_Caixa_Janeiro[[#This Row],[Fluxo de Caixa 2026 CTR]]</f>
        <v>0</v>
      </c>
      <c r="C195" s="35"/>
      <c r="D195" s="62"/>
      <c r="E195" s="62"/>
      <c r="F195" s="62"/>
      <c r="G195" s="62"/>
      <c r="H195" s="62"/>
      <c r="I195" s="35">
        <f>Fluxo_de_Caixa_Janeiro3459117[[#This Row],[JULHO]]</f>
        <v>0</v>
      </c>
      <c r="J195" s="62">
        <f>Fluxo_de_Caixa_Janeiro345911710[[#This Row],[AGOSTO]]</f>
        <v>0</v>
      </c>
      <c r="K195" s="62">
        <f>Fluxo_de_Caixa_Janeiro34591171012[[#This Row],[SETEMBRO]]</f>
        <v>0</v>
      </c>
      <c r="L195" s="62"/>
      <c r="M195" s="62"/>
      <c r="N195" s="119"/>
      <c r="O195" s="224">
        <f>SUM(Fluxo_de_Caixa_Janeiro310201314[[#This Row],[Janeiro]:[Dezembro]])</f>
        <v>0</v>
      </c>
      <c r="P195" s="194" t="str">
        <f t="shared" si="11"/>
        <v>0,00%</v>
      </c>
      <c r="Q195" s="75"/>
      <c r="R195" s="32" t="str">
        <f>IF(Fluxo_de_Caixa_Janeiro310201314[[#This Row],[% ACUMULADO  3º SEMEST 2026]]&lt;=Fluxo_de_Caixa_Janeiro310201314[[#This Row],[Coluna1]],"VERDADEIRO","FALSO")</f>
        <v>FALSO</v>
      </c>
    </row>
    <row r="196" spans="2:18" x14ac:dyDescent="0.25">
      <c r="B196" s="55" t="str">
        <f>Fluxo_de_Caixa_Janeiro[[#This Row],[Fluxo de Caixa 2026 CTR]]</f>
        <v>3.6.14. JUROS ANTEC. CARTÕES CRED/DEBITO</v>
      </c>
      <c r="C196" s="35"/>
      <c r="D196" s="62"/>
      <c r="E196" s="62"/>
      <c r="F196" s="62"/>
      <c r="G196" s="62"/>
      <c r="H196" s="62"/>
      <c r="I196" s="35">
        <f>Fluxo_de_Caixa_Janeiro3459117[[#This Row],[JULHO]]</f>
        <v>0</v>
      </c>
      <c r="J196" s="62">
        <f>Fluxo_de_Caixa_Janeiro345911710[[#This Row],[AGOSTO]]</f>
        <v>0</v>
      </c>
      <c r="K196" s="62">
        <f>Fluxo_de_Caixa_Janeiro34591171012[[#This Row],[SETEMBRO]]</f>
        <v>0</v>
      </c>
      <c r="L196" s="62"/>
      <c r="M196" s="62"/>
      <c r="N196" s="119"/>
      <c r="O196" s="224">
        <f>SUM(Fluxo_de_Caixa_Janeiro310201314[[#This Row],[Janeiro]:[Dezembro]])</f>
        <v>0</v>
      </c>
      <c r="P196" s="194" t="str">
        <f t="shared" si="11"/>
        <v>0,00%</v>
      </c>
      <c r="Q196" s="75"/>
      <c r="R196" s="32" t="str">
        <f>IF(Fluxo_de_Caixa_Janeiro310201314[[#This Row],[% ACUMULADO  3º SEMEST 2026]]&lt;=Fluxo_de_Caixa_Janeiro310201314[[#This Row],[Coluna1]],"VERDADEIRO","FALSO")</f>
        <v>FALSO</v>
      </c>
    </row>
    <row r="197" spans="2:18" ht="15.75" thickBot="1" x14ac:dyDescent="0.3">
      <c r="B197" s="55" t="str">
        <f>Fluxo_de_Caixa_Janeiro[[#This Row],[Fluxo de Caixa 2026 CTR]]</f>
        <v>3.6.15. IRRF Sobre Aplicação Financeira</v>
      </c>
      <c r="C197" s="35"/>
      <c r="D197" s="62"/>
      <c r="E197" s="62"/>
      <c r="F197" s="62"/>
      <c r="G197" s="62"/>
      <c r="H197" s="62"/>
      <c r="I197" s="35">
        <f>Fluxo_de_Caixa_Janeiro3459117[[#This Row],[JULHO]]</f>
        <v>0</v>
      </c>
      <c r="J197" s="62">
        <f>Fluxo_de_Caixa_Janeiro345911710[[#This Row],[AGOSTO]]</f>
        <v>0</v>
      </c>
      <c r="K197" s="62">
        <f>Fluxo_de_Caixa_Janeiro34591171012[[#This Row],[SETEMBRO]]</f>
        <v>0</v>
      </c>
      <c r="L197" s="62"/>
      <c r="M197" s="62"/>
      <c r="N197" s="119"/>
      <c r="O197" s="224">
        <f>SUM(Fluxo_de_Caixa_Janeiro310201314[[#This Row],[Janeiro]:[Dezembro]])</f>
        <v>0</v>
      </c>
      <c r="P197" s="194" t="str">
        <f t="shared" si="11"/>
        <v>0,00%</v>
      </c>
      <c r="Q197" s="75"/>
      <c r="R197" s="32" t="str">
        <f>IF(Fluxo_de_Caixa_Janeiro310201314[[#This Row],[% ACUMULADO  3º SEMEST 2026]]&lt;=Fluxo_de_Caixa_Janeiro310201314[[#This Row],[Coluna1]],"VERDADEIRO","FALSO")</f>
        <v>FALSO</v>
      </c>
    </row>
    <row r="198" spans="2:18" ht="15.75" hidden="1" thickBot="1" x14ac:dyDescent="0.3">
      <c r="B198" s="55" t="str">
        <f>Fluxo_de_Caixa_Janeiro[[#This Row],[Fluxo de Caixa 2026 CTR]]</f>
        <v>3.6.16.DESCONTOS FINANCEIROS</v>
      </c>
      <c r="C198" s="35"/>
      <c r="D198" s="62"/>
      <c r="E198" s="62"/>
      <c r="F198" s="62"/>
      <c r="G198" s="62"/>
      <c r="H198" s="62"/>
      <c r="I198" s="35">
        <f>Fluxo_de_Caixa_Janeiro3459117[[#This Row],[JULHO]]</f>
        <v>0</v>
      </c>
      <c r="J198" s="62">
        <f>Fluxo_de_Caixa_Janeiro345911710[[#This Row],[AGOSTO]]</f>
        <v>0</v>
      </c>
      <c r="K198" s="62">
        <f>Fluxo_de_Caixa_Janeiro34591171012[[#This Row],[SETEMBRO]]</f>
        <v>0</v>
      </c>
      <c r="L198" s="62"/>
      <c r="M198" s="62"/>
      <c r="N198" s="119"/>
      <c r="O198" s="224">
        <f>SUM(Fluxo_de_Caixa_Janeiro310201314[[#This Row],[Janeiro]:[Dezembro]])</f>
        <v>0</v>
      </c>
      <c r="P198" s="194" t="str">
        <f t="shared" si="11"/>
        <v>0,00%</v>
      </c>
      <c r="Q198" s="75"/>
      <c r="R198" s="32" t="str">
        <f>IF(Fluxo_de_Caixa_Janeiro310201314[[#This Row],[% ACUMULADO  3º SEMEST 2026]]&lt;=Fluxo_de_Caixa_Janeiro310201314[[#This Row],[Coluna1]],"VERDADEIRO","FALSO")</f>
        <v>FALSO</v>
      </c>
    </row>
    <row r="199" spans="2:18" ht="15.75" hidden="1" thickBot="1" x14ac:dyDescent="0.3">
      <c r="B199" s="387" t="str">
        <f>Fluxo_de_Caixa_Janeiro[[#This Row],[Fluxo de Caixa 2026 CTR]]</f>
        <v>3.6.17.JUROS DESCONTO DE BOLETOS</v>
      </c>
      <c r="C199" s="36"/>
      <c r="D199" s="82"/>
      <c r="E199" s="82"/>
      <c r="F199" s="82"/>
      <c r="G199" s="82"/>
      <c r="H199" s="82"/>
      <c r="I199" s="36">
        <f>Fluxo_de_Caixa_Janeiro3459117[[#This Row],[JULHO]]</f>
        <v>0</v>
      </c>
      <c r="J199" s="82">
        <f>Fluxo_de_Caixa_Janeiro345911710[[#This Row],[AGOSTO]]</f>
        <v>0</v>
      </c>
      <c r="K199" s="82">
        <f>Fluxo_de_Caixa_Janeiro34591171012[[#This Row],[SETEMBRO]]</f>
        <v>0</v>
      </c>
      <c r="L199" s="82"/>
      <c r="M199" s="82"/>
      <c r="N199" s="120"/>
      <c r="O199" s="225">
        <f>SUM(Fluxo_de_Caixa_Janeiro310201314[[#This Row],[Janeiro]:[Dezembro]])</f>
        <v>0</v>
      </c>
      <c r="P199" s="195" t="str">
        <f t="shared" si="11"/>
        <v>0,00%</v>
      </c>
      <c r="Q199" s="96"/>
      <c r="R199" s="32" t="str">
        <f>IF(Fluxo_de_Caixa_Janeiro310201314[[#This Row],[% ACUMULADO  3º SEMEST 2026]]&lt;=Fluxo_de_Caixa_Janeiro310201314[[#This Row],[Coluna1]],"VERDADEIRO","FALSO")</f>
        <v>FALSO</v>
      </c>
    </row>
    <row r="200" spans="2:18" ht="19.5" thickBot="1" x14ac:dyDescent="0.35">
      <c r="B200" s="277" t="str">
        <f>Fluxo_de_Caixa_Janeiro[[#This Row],[Fluxo de Caixa 2026 CTR]]</f>
        <v>3.7. DESPESAS COM VEICULOS</v>
      </c>
      <c r="C200" s="158"/>
      <c r="D200" s="97"/>
      <c r="E200" s="97"/>
      <c r="F200" s="97"/>
      <c r="G200" s="97"/>
      <c r="H200" s="97"/>
      <c r="I200" s="158">
        <f>Fluxo_de_Caixa_Janeiro3459117[[#This Row],[JULHO]]</f>
        <v>0</v>
      </c>
      <c r="J200" s="97">
        <f>Fluxo_de_Caixa_Janeiro345911710[[#This Row],[AGOSTO]]</f>
        <v>0</v>
      </c>
      <c r="K200" s="97">
        <f>Fluxo_de_Caixa_Janeiro34591171012[[#This Row],[SETEMBRO]]</f>
        <v>0</v>
      </c>
      <c r="L200" s="97"/>
      <c r="M200" s="97"/>
      <c r="N200" s="129"/>
      <c r="O200" s="226">
        <f>SUM(Fluxo_de_Caixa_Janeiro310201314[[#This Row],[Janeiro]:[Dezembro]])</f>
        <v>0</v>
      </c>
      <c r="P200" s="144">
        <f>-IFERROR(C200/$C$27,"0,00")</f>
        <v>0</v>
      </c>
      <c r="Q200" s="98"/>
      <c r="R200" s="32" t="str">
        <f>IF(Fluxo_de_Caixa_Janeiro310201314[[#This Row],[% ACUMULADO  3º SEMEST 2026]]&lt;=Fluxo_de_Caixa_Janeiro310201314[[#This Row],[Coluna1]],"VERDADEIRO","FALSO")</f>
        <v>VERDADEIRO</v>
      </c>
    </row>
    <row r="201" spans="2:18" x14ac:dyDescent="0.25">
      <c r="B201" s="388" t="str">
        <f>Fluxo_de_Caixa_Janeiro[[#This Row],[Fluxo de Caixa 2026 CTR]]</f>
        <v>3.7.01. Combustível e Lubrificantes</v>
      </c>
      <c r="C201" s="41"/>
      <c r="D201" s="81"/>
      <c r="E201" s="81"/>
      <c r="F201" s="81"/>
      <c r="G201" s="81"/>
      <c r="H201" s="81"/>
      <c r="I201" s="41">
        <f>Fluxo_de_Caixa_Janeiro3459117[[#This Row],[JULHO]]</f>
        <v>0</v>
      </c>
      <c r="J201" s="81">
        <f>Fluxo_de_Caixa_Janeiro345911710[[#This Row],[AGOSTO]]</f>
        <v>0</v>
      </c>
      <c r="K201" s="81">
        <f>Fluxo_de_Caixa_Janeiro34591171012[[#This Row],[SETEMBRO]]</f>
        <v>0</v>
      </c>
      <c r="L201" s="81"/>
      <c r="M201" s="81"/>
      <c r="N201" s="118"/>
      <c r="O201" s="223">
        <f>SUM(Fluxo_de_Caixa_Janeiro310201314[[#This Row],[Janeiro]:[Dezembro]])</f>
        <v>0</v>
      </c>
      <c r="P201" s="193" t="str">
        <f t="shared" ref="P201:P211" si="12">IFERROR(O201/$O$27,"0,00%")</f>
        <v>0,00%</v>
      </c>
      <c r="Q201" s="93"/>
      <c r="R201" s="32" t="str">
        <f>IF(Fluxo_de_Caixa_Janeiro310201314[[#This Row],[% ACUMULADO  3º SEMEST 2026]]&lt;=Fluxo_de_Caixa_Janeiro310201314[[#This Row],[Coluna1]],"VERDADEIRO","FALSO")</f>
        <v>FALSO</v>
      </c>
    </row>
    <row r="202" spans="2:18" x14ac:dyDescent="0.25">
      <c r="B202" s="378" t="str">
        <f>Fluxo_de_Caixa_Janeiro[[#This Row],[Fluxo de Caixa 2026 CTR]]</f>
        <v xml:space="preserve">3.7.02. Manutenção Veicular </v>
      </c>
      <c r="C202" s="357"/>
      <c r="D202" s="306"/>
      <c r="E202" s="306"/>
      <c r="F202" s="306"/>
      <c r="G202" s="306"/>
      <c r="H202" s="306"/>
      <c r="I202" s="357">
        <f>Fluxo_de_Caixa_Janeiro3459117[[#This Row],[JULHO]]</f>
        <v>0</v>
      </c>
      <c r="J202" s="306">
        <f>Fluxo_de_Caixa_Janeiro345911710[[#This Row],[AGOSTO]]</f>
        <v>0</v>
      </c>
      <c r="K202" s="306">
        <f>Fluxo_de_Caixa_Janeiro34591171012[[#This Row],[SETEMBRO]]</f>
        <v>0</v>
      </c>
      <c r="L202" s="306"/>
      <c r="M202" s="306"/>
      <c r="N202" s="360"/>
      <c r="O202" s="223">
        <f>SUM(Fluxo_de_Caixa_Janeiro310201314[[#This Row],[Janeiro]:[Dezembro]])</f>
        <v>0</v>
      </c>
      <c r="P202" s="193" t="str">
        <f t="shared" si="12"/>
        <v>0,00%</v>
      </c>
      <c r="Q202" s="93"/>
      <c r="R202" s="32"/>
    </row>
    <row r="203" spans="2:18" x14ac:dyDescent="0.25">
      <c r="B203" s="378" t="str">
        <f>Fluxo_de_Caixa_Janeiro[[#This Row],[Fluxo de Caixa 2026 CTR]]</f>
        <v xml:space="preserve">3.7.03. IPVA e outras taxas </v>
      </c>
      <c r="C203" s="369"/>
      <c r="D203" s="370"/>
      <c r="E203" s="370"/>
      <c r="F203" s="370"/>
      <c r="G203" s="370"/>
      <c r="H203" s="370"/>
      <c r="I203" s="369">
        <f>Fluxo_de_Caixa_Janeiro3459117[[#This Row],[JULHO]]</f>
        <v>0</v>
      </c>
      <c r="J203" s="370">
        <f>Fluxo_de_Caixa_Janeiro345911710[[#This Row],[AGOSTO]]</f>
        <v>0</v>
      </c>
      <c r="K203" s="370">
        <f>Fluxo_de_Caixa_Janeiro34591171012[[#This Row],[SETEMBRO]]</f>
        <v>0</v>
      </c>
      <c r="L203" s="370"/>
      <c r="M203" s="370"/>
      <c r="N203" s="371"/>
      <c r="O203" s="223">
        <f>SUM(Fluxo_de_Caixa_Janeiro310201314[[#This Row],[Janeiro]:[Dezembro]])</f>
        <v>0</v>
      </c>
      <c r="P203" s="193" t="str">
        <f t="shared" si="12"/>
        <v>0,00%</v>
      </c>
      <c r="Q203" s="93"/>
      <c r="R203" s="32"/>
    </row>
    <row r="204" spans="2:18" x14ac:dyDescent="0.25">
      <c r="B204" s="378" t="str">
        <f>Fluxo_de_Caixa_Janeiro[[#This Row],[Fluxo de Caixa 2026 CTR]]</f>
        <v>3.7.04. Multa</v>
      </c>
      <c r="C204" s="369"/>
      <c r="D204" s="370"/>
      <c r="E204" s="370"/>
      <c r="F204" s="370"/>
      <c r="G204" s="370"/>
      <c r="H204" s="370"/>
      <c r="I204" s="369">
        <f>Fluxo_de_Caixa_Janeiro3459117[[#This Row],[JULHO]]</f>
        <v>0</v>
      </c>
      <c r="J204" s="370">
        <f>Fluxo_de_Caixa_Janeiro345911710[[#This Row],[AGOSTO]]</f>
        <v>0</v>
      </c>
      <c r="K204" s="370">
        <f>Fluxo_de_Caixa_Janeiro34591171012[[#This Row],[SETEMBRO]]</f>
        <v>0</v>
      </c>
      <c r="L204" s="370"/>
      <c r="M204" s="370"/>
      <c r="N204" s="371"/>
      <c r="O204" s="223">
        <f>SUM(Fluxo_de_Caixa_Janeiro310201314[[#This Row],[Janeiro]:[Dezembro]])</f>
        <v>0</v>
      </c>
      <c r="P204" s="193" t="str">
        <f t="shared" si="12"/>
        <v>0,00%</v>
      </c>
      <c r="Q204" s="93"/>
      <c r="R204" s="32"/>
    </row>
    <row r="205" spans="2:18" x14ac:dyDescent="0.25">
      <c r="B205" s="378" t="str">
        <f>Fluxo_de_Caixa_Janeiro[[#This Row],[Fluxo de Caixa 2026 CTR]]</f>
        <v>3.7.05. Despesas com Estacionamento</v>
      </c>
      <c r="C205" s="369"/>
      <c r="D205" s="370"/>
      <c r="E205" s="370"/>
      <c r="F205" s="370"/>
      <c r="G205" s="370"/>
      <c r="H205" s="370"/>
      <c r="I205" s="369">
        <f>Fluxo_de_Caixa_Janeiro3459117[[#This Row],[JULHO]]</f>
        <v>0</v>
      </c>
      <c r="J205" s="370">
        <f>Fluxo_de_Caixa_Janeiro345911710[[#This Row],[AGOSTO]]</f>
        <v>0</v>
      </c>
      <c r="K205" s="370">
        <f>Fluxo_de_Caixa_Janeiro34591171012[[#This Row],[SETEMBRO]]</f>
        <v>0</v>
      </c>
      <c r="L205" s="370"/>
      <c r="M205" s="370"/>
      <c r="N205" s="371"/>
      <c r="O205" s="223">
        <f>SUM(Fluxo_de_Caixa_Janeiro310201314[[#This Row],[Janeiro]:[Dezembro]])</f>
        <v>0</v>
      </c>
      <c r="P205" s="193" t="str">
        <f t="shared" si="12"/>
        <v>0,00%</v>
      </c>
      <c r="Q205" s="93"/>
      <c r="R205" s="32"/>
    </row>
    <row r="206" spans="2:18" x14ac:dyDescent="0.25">
      <c r="B206" s="378" t="str">
        <f>Fluxo_de_Caixa_Janeiro[[#This Row],[Fluxo de Caixa 2026 CTR]]</f>
        <v>3.7.06. Aluguel de Veículo</v>
      </c>
      <c r="C206" s="369"/>
      <c r="D206" s="370"/>
      <c r="E206" s="370"/>
      <c r="F206" s="370"/>
      <c r="G206" s="370"/>
      <c r="H206" s="370"/>
      <c r="I206" s="369">
        <f>Fluxo_de_Caixa_Janeiro3459117[[#This Row],[JULHO]]</f>
        <v>0</v>
      </c>
      <c r="J206" s="370">
        <f>Fluxo_de_Caixa_Janeiro345911710[[#This Row],[AGOSTO]]</f>
        <v>0</v>
      </c>
      <c r="K206" s="370">
        <f>Fluxo_de_Caixa_Janeiro34591171012[[#This Row],[SETEMBRO]]</f>
        <v>0</v>
      </c>
      <c r="L206" s="370"/>
      <c r="M206" s="370"/>
      <c r="N206" s="371"/>
      <c r="O206" s="223">
        <f>SUM(Fluxo_de_Caixa_Janeiro310201314[[#This Row],[Janeiro]:[Dezembro]])</f>
        <v>0</v>
      </c>
      <c r="P206" s="193" t="str">
        <f t="shared" si="12"/>
        <v>0,00%</v>
      </c>
      <c r="Q206" s="93"/>
      <c r="R206" s="32"/>
    </row>
    <row r="207" spans="2:18" hidden="1" x14ac:dyDescent="0.25">
      <c r="B207" s="378" t="str">
        <f>Fluxo_de_Caixa_Janeiro[[#This Row],[Fluxo de Caixa 2026 CTR]]</f>
        <v>3.7.07.RASTREAMENTO POR GPS</v>
      </c>
      <c r="C207" s="366"/>
      <c r="D207" s="367"/>
      <c r="E207" s="367"/>
      <c r="F207" s="367"/>
      <c r="G207" s="367"/>
      <c r="H207" s="367"/>
      <c r="I207" s="366">
        <f>Fluxo_de_Caixa_Janeiro3459117[[#This Row],[JULHO]]</f>
        <v>0</v>
      </c>
      <c r="J207" s="367">
        <f>Fluxo_de_Caixa_Janeiro345911710[[#This Row],[AGOSTO]]</f>
        <v>0</v>
      </c>
      <c r="K207" s="367">
        <f>Fluxo_de_Caixa_Janeiro34591171012[[#This Row],[SETEMBRO]]</f>
        <v>0</v>
      </c>
      <c r="L207" s="367"/>
      <c r="M207" s="367"/>
      <c r="N207" s="368"/>
      <c r="O207" s="223">
        <f>SUM(Fluxo_de_Caixa_Janeiro310201314[[#This Row],[Janeiro]:[Dezembro]])</f>
        <v>0</v>
      </c>
      <c r="P207" s="193" t="str">
        <f t="shared" si="12"/>
        <v>0,00%</v>
      </c>
      <c r="Q207" s="93"/>
      <c r="R207" s="32"/>
    </row>
    <row r="208" spans="2:18" x14ac:dyDescent="0.25">
      <c r="B208" s="378" t="str">
        <f>Fluxo_de_Caixa_Janeiro[[#This Row],[Fluxo de Caixa 2026 CTR]]</f>
        <v>3.7.08. Seguro Veicular</v>
      </c>
      <c r="C208" s="357"/>
      <c r="D208" s="306"/>
      <c r="E208" s="306"/>
      <c r="F208" s="306"/>
      <c r="G208" s="306"/>
      <c r="H208" s="306"/>
      <c r="I208" s="357">
        <f>Fluxo_de_Caixa_Janeiro3459117[[#This Row],[JULHO]]</f>
        <v>0</v>
      </c>
      <c r="J208" s="306">
        <f>Fluxo_de_Caixa_Janeiro345911710[[#This Row],[AGOSTO]]</f>
        <v>0</v>
      </c>
      <c r="K208" s="306">
        <f>Fluxo_de_Caixa_Janeiro34591171012[[#This Row],[SETEMBRO]]</f>
        <v>0</v>
      </c>
      <c r="L208" s="306"/>
      <c r="M208" s="306"/>
      <c r="N208" s="360"/>
      <c r="O208" s="223">
        <f>SUM(Fluxo_de_Caixa_Janeiro310201314[[#This Row],[Janeiro]:[Dezembro]])</f>
        <v>0</v>
      </c>
      <c r="P208" s="193" t="str">
        <f t="shared" si="12"/>
        <v>0,00%</v>
      </c>
      <c r="Q208" s="93"/>
      <c r="R208" s="32"/>
    </row>
    <row r="209" spans="2:18" ht="15.75" thickBot="1" x14ac:dyDescent="0.3">
      <c r="B209" s="378" t="str">
        <f>Fluxo_de_Caixa_Janeiro[[#This Row],[Fluxo de Caixa 2026 CTR]]</f>
        <v>3.7.09.PEDAGIO E TRAVESSIA DE BALSA</v>
      </c>
      <c r="C209" s="369"/>
      <c r="D209" s="370"/>
      <c r="E209" s="370"/>
      <c r="F209" s="370"/>
      <c r="G209" s="370"/>
      <c r="H209" s="370"/>
      <c r="I209" s="369">
        <f>Fluxo_de_Caixa_Janeiro3459117[[#This Row],[JULHO]]</f>
        <v>0</v>
      </c>
      <c r="J209" s="370">
        <f>Fluxo_de_Caixa_Janeiro345911710[[#This Row],[AGOSTO]]</f>
        <v>0</v>
      </c>
      <c r="K209" s="370">
        <f>Fluxo_de_Caixa_Janeiro34591171012[[#This Row],[SETEMBRO]]</f>
        <v>0</v>
      </c>
      <c r="L209" s="370"/>
      <c r="M209" s="370"/>
      <c r="N209" s="371"/>
      <c r="O209" s="223">
        <f>SUM(Fluxo_de_Caixa_Janeiro310201314[[#This Row],[Janeiro]:[Dezembro]])</f>
        <v>0</v>
      </c>
      <c r="P209" s="193" t="str">
        <f t="shared" si="12"/>
        <v>0,00%</v>
      </c>
      <c r="Q209" s="93"/>
      <c r="R209" s="32"/>
    </row>
    <row r="210" spans="2:18" ht="15.75" hidden="1" thickBot="1" x14ac:dyDescent="0.3">
      <c r="B210" s="378">
        <f>Fluxo_de_Caixa_Janeiro[[#This Row],[Fluxo de Caixa 2026 CTR]]</f>
        <v>0</v>
      </c>
      <c r="C210" s="369"/>
      <c r="D210" s="370"/>
      <c r="E210" s="370"/>
      <c r="F210" s="370"/>
      <c r="G210" s="370"/>
      <c r="H210" s="370"/>
      <c r="I210" s="369">
        <f>Fluxo_de_Caixa_Janeiro3459117[[#This Row],[JULHO]]</f>
        <v>0</v>
      </c>
      <c r="J210" s="370">
        <f>Fluxo_de_Caixa_Janeiro345911710[[#This Row],[AGOSTO]]</f>
        <v>0</v>
      </c>
      <c r="K210" s="370">
        <f>Fluxo_de_Caixa_Janeiro34591171012[[#This Row],[SETEMBRO]]</f>
        <v>0</v>
      </c>
      <c r="L210" s="370"/>
      <c r="M210" s="370"/>
      <c r="N210" s="371"/>
      <c r="O210" s="223">
        <f>SUM(Fluxo_de_Caixa_Janeiro310201314[[#This Row],[Janeiro]:[Dezembro]])</f>
        <v>0</v>
      </c>
      <c r="P210" s="193" t="str">
        <f t="shared" si="12"/>
        <v>0,00%</v>
      </c>
      <c r="Q210" s="93"/>
      <c r="R210" s="32"/>
    </row>
    <row r="211" spans="2:18" ht="15.75" hidden="1" thickBot="1" x14ac:dyDescent="0.3">
      <c r="B211" s="389">
        <f>Fluxo_de_Caixa_Janeiro[[#This Row],[Fluxo de Caixa 2026 CTR]]</f>
        <v>0</v>
      </c>
      <c r="C211" s="366"/>
      <c r="D211" s="367"/>
      <c r="E211" s="367"/>
      <c r="F211" s="367"/>
      <c r="G211" s="367"/>
      <c r="H211" s="367"/>
      <c r="I211" s="366">
        <f>Fluxo_de_Caixa_Janeiro3459117[[#This Row],[JULHO]]</f>
        <v>0</v>
      </c>
      <c r="J211" s="367">
        <f>Fluxo_de_Caixa_Janeiro345911710[[#This Row],[AGOSTO]]</f>
        <v>0</v>
      </c>
      <c r="K211" s="367">
        <f>Fluxo_de_Caixa_Janeiro34591171012[[#This Row],[SETEMBRO]]</f>
        <v>0</v>
      </c>
      <c r="L211" s="367"/>
      <c r="M211" s="367"/>
      <c r="N211" s="368"/>
      <c r="O211" s="223">
        <f>SUM(Fluxo_de_Caixa_Janeiro310201314[[#This Row],[Janeiro]:[Dezembro]])</f>
        <v>0</v>
      </c>
      <c r="P211" s="193" t="str">
        <f t="shared" si="12"/>
        <v>0,00%</v>
      </c>
      <c r="Q211" s="93"/>
      <c r="R211" s="32"/>
    </row>
    <row r="212" spans="2:18" ht="19.5" thickBot="1" x14ac:dyDescent="0.35">
      <c r="B212" s="277" t="str">
        <f>Fluxo_de_Caixa_Janeiro[[#This Row],[Fluxo de Caixa 2026 CTR]]</f>
        <v>3.8. IMPOSTOS ADMINISTRATIVOS</v>
      </c>
      <c r="C212" s="158"/>
      <c r="D212" s="97"/>
      <c r="E212" s="97"/>
      <c r="F212" s="97"/>
      <c r="G212" s="97"/>
      <c r="H212" s="97"/>
      <c r="I212" s="158">
        <f>Fluxo_de_Caixa_Janeiro3459117[[#This Row],[JULHO]]</f>
        <v>0</v>
      </c>
      <c r="J212" s="97">
        <f>Fluxo_de_Caixa_Janeiro345911710[[#This Row],[AGOSTO]]</f>
        <v>0</v>
      </c>
      <c r="K212" s="97">
        <f>Fluxo_de_Caixa_Janeiro34591171012[[#This Row],[SETEMBRO]]</f>
        <v>0</v>
      </c>
      <c r="L212" s="97"/>
      <c r="M212" s="97"/>
      <c r="N212" s="129"/>
      <c r="O212" s="226">
        <f>SUM(Fluxo_de_Caixa_Janeiro310201314[[#This Row],[Janeiro]:[Dezembro]])</f>
        <v>0</v>
      </c>
      <c r="P212" s="144">
        <f>-IFERROR(C212/$C$27,"0,00")</f>
        <v>0</v>
      </c>
      <c r="Q212" s="98"/>
      <c r="R212" s="32"/>
    </row>
    <row r="213" spans="2:18" hidden="1" x14ac:dyDescent="0.25">
      <c r="B213" s="390">
        <f>Fluxo_de_Caixa_Janeiro[[#This Row],[Fluxo de Caixa 2026 CTR]]</f>
        <v>0</v>
      </c>
      <c r="C213" s="369"/>
      <c r="D213" s="370"/>
      <c r="E213" s="370"/>
      <c r="F213" s="370"/>
      <c r="G213" s="370"/>
      <c r="H213" s="370"/>
      <c r="I213" s="369">
        <f>Fluxo_de_Caixa_Janeiro3459117[[#This Row],[JULHO]]</f>
        <v>0</v>
      </c>
      <c r="J213" s="370">
        <f>Fluxo_de_Caixa_Janeiro345911710[[#This Row],[AGOSTO]]</f>
        <v>0</v>
      </c>
      <c r="K213" s="370">
        <f>Fluxo_de_Caixa_Janeiro34591171012[[#This Row],[SETEMBRO]]</f>
        <v>0</v>
      </c>
      <c r="L213" s="370"/>
      <c r="M213" s="370"/>
      <c r="N213" s="371"/>
      <c r="O213" s="396">
        <f>SUM(Fluxo_de_Caixa_Janeiro310201314[[#This Row],[Janeiro]:[Dezembro]])</f>
        <v>0</v>
      </c>
      <c r="P213" s="398"/>
      <c r="Q213" s="399"/>
      <c r="R213" s="32"/>
    </row>
    <row r="214" spans="2:18" hidden="1" x14ac:dyDescent="0.25">
      <c r="B214" s="378">
        <f>Fluxo_de_Caixa_Janeiro[[#This Row],[Fluxo de Caixa 2026 CTR]]</f>
        <v>0</v>
      </c>
      <c r="C214" s="357"/>
      <c r="D214" s="306"/>
      <c r="E214" s="306"/>
      <c r="F214" s="306"/>
      <c r="G214" s="306"/>
      <c r="H214" s="306"/>
      <c r="I214" s="357">
        <f>Fluxo_de_Caixa_Janeiro3459117[[#This Row],[JULHO]]</f>
        <v>0</v>
      </c>
      <c r="J214" s="306">
        <f>Fluxo_de_Caixa_Janeiro345911710[[#This Row],[AGOSTO]]</f>
        <v>0</v>
      </c>
      <c r="K214" s="306">
        <f>Fluxo_de_Caixa_Janeiro34591171012[[#This Row],[SETEMBRO]]</f>
        <v>0</v>
      </c>
      <c r="L214" s="306"/>
      <c r="M214" s="306"/>
      <c r="N214" s="306"/>
      <c r="O214" s="396">
        <f>SUM(Fluxo_de_Caixa_Janeiro310201314[[#This Row],[Janeiro]:[Dezembro]])</f>
        <v>0</v>
      </c>
      <c r="P214" s="398"/>
      <c r="Q214" s="399"/>
      <c r="R214" s="32"/>
    </row>
    <row r="215" spans="2:18" x14ac:dyDescent="0.25">
      <c r="B215" s="378" t="str">
        <f>Fluxo_de_Caixa_Janeiro[[#This Row],[Fluxo de Caixa 2026 CTR]]</f>
        <v xml:space="preserve">3.8.03.ICMS-DIFERENCIAL DE ALIQUOTA </v>
      </c>
      <c r="C215" s="357"/>
      <c r="D215" s="306"/>
      <c r="E215" s="306"/>
      <c r="F215" s="306"/>
      <c r="G215" s="306"/>
      <c r="H215" s="306"/>
      <c r="I215" s="357">
        <f>Fluxo_de_Caixa_Janeiro3459117[[#This Row],[JULHO]]</f>
        <v>0</v>
      </c>
      <c r="J215" s="306">
        <f>Fluxo_de_Caixa_Janeiro345911710[[#This Row],[AGOSTO]]</f>
        <v>0</v>
      </c>
      <c r="K215" s="306">
        <f>Fluxo_de_Caixa_Janeiro34591171012[[#This Row],[SETEMBRO]]</f>
        <v>0</v>
      </c>
      <c r="L215" s="306"/>
      <c r="M215" s="306"/>
      <c r="N215" s="306"/>
      <c r="O215" s="396">
        <f>SUM(Fluxo_de_Caixa_Janeiro310201314[[#This Row],[Janeiro]:[Dezembro]])</f>
        <v>0</v>
      </c>
      <c r="P215" s="398"/>
      <c r="Q215" s="399"/>
      <c r="R215" s="32"/>
    </row>
    <row r="216" spans="2:18" hidden="1" x14ac:dyDescent="0.25">
      <c r="B216" s="378">
        <f>Fluxo_de_Caixa_Janeiro[[#This Row],[Fluxo de Caixa 2026 CTR]]</f>
        <v>0</v>
      </c>
      <c r="C216" s="357"/>
      <c r="D216" s="306"/>
      <c r="E216" s="306"/>
      <c r="F216" s="306"/>
      <c r="G216" s="306"/>
      <c r="H216" s="306"/>
      <c r="I216" s="357">
        <f>Fluxo_de_Caixa_Janeiro3459117[[#This Row],[JULHO]]</f>
        <v>0</v>
      </c>
      <c r="J216" s="306">
        <f>Fluxo_de_Caixa_Janeiro345911710[[#This Row],[AGOSTO]]</f>
        <v>0</v>
      </c>
      <c r="K216" s="306">
        <f>Fluxo_de_Caixa_Janeiro34591171012[[#This Row],[SETEMBRO]]</f>
        <v>0</v>
      </c>
      <c r="L216" s="306"/>
      <c r="M216" s="306"/>
      <c r="N216" s="306"/>
      <c r="O216" s="396">
        <f>SUM(Fluxo_de_Caixa_Janeiro310201314[[#This Row],[Janeiro]:[Dezembro]])</f>
        <v>0</v>
      </c>
      <c r="P216" s="398"/>
      <c r="Q216" s="399"/>
      <c r="R216" s="32"/>
    </row>
    <row r="217" spans="2:18" x14ac:dyDescent="0.25">
      <c r="B217" s="378" t="str">
        <f>Fluxo_de_Caixa_Janeiro[[#This Row],[Fluxo de Caixa 2026 CTR]]</f>
        <v>3.8.05. IR</v>
      </c>
      <c r="C217" s="357"/>
      <c r="D217" s="306"/>
      <c r="E217" s="306"/>
      <c r="F217" s="306"/>
      <c r="G217" s="306"/>
      <c r="H217" s="306"/>
      <c r="I217" s="357">
        <f>Fluxo_de_Caixa_Janeiro3459117[[#This Row],[JULHO]]</f>
        <v>0</v>
      </c>
      <c r="J217" s="306">
        <f>Fluxo_de_Caixa_Janeiro345911710[[#This Row],[AGOSTO]]</f>
        <v>0</v>
      </c>
      <c r="K217" s="306">
        <f>Fluxo_de_Caixa_Janeiro34591171012[[#This Row],[SETEMBRO]]</f>
        <v>0</v>
      </c>
      <c r="L217" s="306"/>
      <c r="M217" s="306"/>
      <c r="N217" s="306"/>
      <c r="O217" s="396">
        <f>SUM(Fluxo_de_Caixa_Janeiro310201314[[#This Row],[Janeiro]:[Dezembro]])</f>
        <v>0</v>
      </c>
      <c r="P217" s="398"/>
      <c r="Q217" s="399"/>
      <c r="R217" s="32"/>
    </row>
    <row r="218" spans="2:18" x14ac:dyDescent="0.25">
      <c r="B218" s="378" t="str">
        <f>Fluxo_de_Caixa_Janeiro[[#This Row],[Fluxo de Caixa 2026 CTR]]</f>
        <v>3.8.06. CSLL</v>
      </c>
      <c r="C218" s="357"/>
      <c r="D218" s="306"/>
      <c r="E218" s="306"/>
      <c r="F218" s="306"/>
      <c r="G218" s="306"/>
      <c r="H218" s="306"/>
      <c r="I218" s="357">
        <f>Fluxo_de_Caixa_Janeiro3459117[[#This Row],[JULHO]]</f>
        <v>0</v>
      </c>
      <c r="J218" s="306">
        <f>Fluxo_de_Caixa_Janeiro345911710[[#This Row],[AGOSTO]]</f>
        <v>0</v>
      </c>
      <c r="K218" s="306">
        <f>Fluxo_de_Caixa_Janeiro34591171012[[#This Row],[SETEMBRO]]</f>
        <v>0</v>
      </c>
      <c r="L218" s="306"/>
      <c r="M218" s="306"/>
      <c r="N218" s="306"/>
      <c r="O218" s="396">
        <f>SUM(Fluxo_de_Caixa_Janeiro310201314[[#This Row],[Janeiro]:[Dezembro]])</f>
        <v>0</v>
      </c>
      <c r="P218" s="398"/>
      <c r="Q218" s="399"/>
      <c r="R218" s="32"/>
    </row>
    <row r="219" spans="2:18" x14ac:dyDescent="0.25">
      <c r="B219" s="378" t="str">
        <f>Fluxo_de_Caixa_Janeiro[[#This Row],[Fluxo de Caixa 2026 CTR]]</f>
        <v>3.8.07. IPTU</v>
      </c>
      <c r="C219" s="357"/>
      <c r="D219" s="306"/>
      <c r="E219" s="306"/>
      <c r="F219" s="306"/>
      <c r="G219" s="306"/>
      <c r="H219" s="306"/>
      <c r="I219" s="357">
        <f>Fluxo_de_Caixa_Janeiro3459117[[#This Row],[JULHO]]</f>
        <v>0</v>
      </c>
      <c r="J219" s="306">
        <f>Fluxo_de_Caixa_Janeiro345911710[[#This Row],[AGOSTO]]</f>
        <v>0</v>
      </c>
      <c r="K219" s="306">
        <f>Fluxo_de_Caixa_Janeiro34591171012[[#This Row],[SETEMBRO]]</f>
        <v>0</v>
      </c>
      <c r="L219" s="306"/>
      <c r="M219" s="306"/>
      <c r="N219" s="306"/>
      <c r="O219" s="396">
        <f>SUM(Fluxo_de_Caixa_Janeiro310201314[[#This Row],[Janeiro]:[Dezembro]])</f>
        <v>0</v>
      </c>
      <c r="P219" s="398"/>
      <c r="Q219" s="399"/>
      <c r="R219" s="32"/>
    </row>
    <row r="220" spans="2:18" x14ac:dyDescent="0.25">
      <c r="B220" s="378" t="str">
        <f>Fluxo_de_Caixa_Janeiro[[#This Row],[Fluxo de Caixa 2026 CTR]]</f>
        <v>3.8.08.OUTROS TRIBUTOS MUNICIPAIS</v>
      </c>
      <c r="C220" s="357"/>
      <c r="D220" s="306"/>
      <c r="E220" s="306"/>
      <c r="F220" s="306"/>
      <c r="G220" s="306"/>
      <c r="H220" s="306"/>
      <c r="I220" s="357">
        <f>Fluxo_de_Caixa_Janeiro3459117[[#This Row],[JULHO]]</f>
        <v>0</v>
      </c>
      <c r="J220" s="306">
        <f>Fluxo_de_Caixa_Janeiro345911710[[#This Row],[AGOSTO]]</f>
        <v>0</v>
      </c>
      <c r="K220" s="306">
        <f>Fluxo_de_Caixa_Janeiro34591171012[[#This Row],[SETEMBRO]]</f>
        <v>0</v>
      </c>
      <c r="L220" s="306"/>
      <c r="M220" s="306"/>
      <c r="N220" s="306"/>
      <c r="O220" s="396">
        <f>SUM(Fluxo_de_Caixa_Janeiro310201314[[#This Row],[Janeiro]:[Dezembro]])</f>
        <v>0</v>
      </c>
      <c r="P220" s="398"/>
      <c r="Q220" s="399"/>
      <c r="R220" s="32"/>
    </row>
    <row r="221" spans="2:18" x14ac:dyDescent="0.25">
      <c r="B221" s="378" t="str">
        <f>Fluxo_de_Caixa_Janeiro[[#This Row],[Fluxo de Caixa 2026 CTR]]</f>
        <v>3.8.09.OUTROS TRIBUTOS ESTADUAIS</v>
      </c>
      <c r="C221" s="357"/>
      <c r="D221" s="306"/>
      <c r="E221" s="306"/>
      <c r="F221" s="306"/>
      <c r="G221" s="306"/>
      <c r="H221" s="306"/>
      <c r="I221" s="357">
        <f>Fluxo_de_Caixa_Janeiro3459117[[#This Row],[JULHO]]</f>
        <v>0</v>
      </c>
      <c r="J221" s="306">
        <f>Fluxo_de_Caixa_Janeiro345911710[[#This Row],[AGOSTO]]</f>
        <v>0</v>
      </c>
      <c r="K221" s="306">
        <f>Fluxo_de_Caixa_Janeiro34591171012[[#This Row],[SETEMBRO]]</f>
        <v>0</v>
      </c>
      <c r="L221" s="306"/>
      <c r="M221" s="306"/>
      <c r="N221" s="306"/>
      <c r="O221" s="396">
        <f>SUM(Fluxo_de_Caixa_Janeiro310201314[[#This Row],[Janeiro]:[Dezembro]])</f>
        <v>0</v>
      </c>
      <c r="P221" s="398"/>
      <c r="Q221" s="399"/>
      <c r="R221" s="32"/>
    </row>
    <row r="222" spans="2:18" x14ac:dyDescent="0.25">
      <c r="B222" s="378" t="str">
        <f>Fluxo_de_Caixa_Janeiro[[#This Row],[Fluxo de Caixa 2026 CTR]]</f>
        <v>3.8.10.OUTROS TRIBUTOS FEDERAIS</v>
      </c>
      <c r="C222" s="357"/>
      <c r="D222" s="306"/>
      <c r="E222" s="306"/>
      <c r="F222" s="306"/>
      <c r="G222" s="306"/>
      <c r="H222" s="306"/>
      <c r="I222" s="357">
        <f>Fluxo_de_Caixa_Janeiro3459117[[#This Row],[JULHO]]</f>
        <v>0</v>
      </c>
      <c r="J222" s="306">
        <f>Fluxo_de_Caixa_Janeiro345911710[[#This Row],[AGOSTO]]</f>
        <v>0</v>
      </c>
      <c r="K222" s="306">
        <f>Fluxo_de_Caixa_Janeiro34591171012[[#This Row],[SETEMBRO]]</f>
        <v>0</v>
      </c>
      <c r="L222" s="306"/>
      <c r="M222" s="306"/>
      <c r="N222" s="306"/>
      <c r="O222" s="396">
        <f>SUM(Fluxo_de_Caixa_Janeiro310201314[[#This Row],[Janeiro]:[Dezembro]])</f>
        <v>0</v>
      </c>
      <c r="P222" s="398"/>
      <c r="Q222" s="399"/>
      <c r="R222" s="32"/>
    </row>
    <row r="223" spans="2:18" x14ac:dyDescent="0.25">
      <c r="B223" s="378" t="str">
        <f>Fluxo_de_Caixa_Janeiro[[#This Row],[Fluxo de Caixa 2026 CTR]]</f>
        <v>3.8.11. IRRF S/ SERVIÇO DE TERCEIRO</v>
      </c>
      <c r="C223" s="357"/>
      <c r="D223" s="306"/>
      <c r="E223" s="306"/>
      <c r="F223" s="306"/>
      <c r="G223" s="306"/>
      <c r="H223" s="306"/>
      <c r="I223" s="357">
        <f>Fluxo_de_Caixa_Janeiro3459117[[#This Row],[JULHO]]</f>
        <v>0</v>
      </c>
      <c r="J223" s="306">
        <f>Fluxo_de_Caixa_Janeiro345911710[[#This Row],[AGOSTO]]</f>
        <v>0</v>
      </c>
      <c r="K223" s="306">
        <f>Fluxo_de_Caixa_Janeiro34591171012[[#This Row],[SETEMBRO]]</f>
        <v>0</v>
      </c>
      <c r="L223" s="306"/>
      <c r="M223" s="306"/>
      <c r="N223" s="306"/>
      <c r="O223" s="396">
        <f>SUM(Fluxo_de_Caixa_Janeiro310201314[[#This Row],[Janeiro]:[Dezembro]])</f>
        <v>0</v>
      </c>
      <c r="P223" s="398"/>
      <c r="Q223" s="399"/>
      <c r="R223" s="32"/>
    </row>
    <row r="224" spans="2:18" x14ac:dyDescent="0.25">
      <c r="B224" s="378" t="str">
        <f>Fluxo_de_Caixa_Janeiro[[#This Row],[Fluxo de Caixa 2026 CTR]]</f>
        <v>3.8.12.MULTA S/ INFRACOES FISCAIS</v>
      </c>
      <c r="C224" s="357"/>
      <c r="D224" s="306"/>
      <c r="E224" s="306"/>
      <c r="F224" s="306"/>
      <c r="G224" s="306"/>
      <c r="H224" s="306"/>
      <c r="I224" s="357">
        <f>Fluxo_de_Caixa_Janeiro3459117[[#This Row],[JULHO]]</f>
        <v>0</v>
      </c>
      <c r="J224" s="306">
        <f>Fluxo_de_Caixa_Janeiro345911710[[#This Row],[AGOSTO]]</f>
        <v>0</v>
      </c>
      <c r="K224" s="306">
        <f>Fluxo_de_Caixa_Janeiro34591171012[[#This Row],[SETEMBRO]]</f>
        <v>0</v>
      </c>
      <c r="L224" s="306"/>
      <c r="M224" s="306"/>
      <c r="N224" s="306"/>
      <c r="O224" s="396">
        <f>SUM(Fluxo_de_Caixa_Janeiro310201314[[#This Row],[Janeiro]:[Dezembro]])</f>
        <v>0</v>
      </c>
      <c r="P224" s="398"/>
      <c r="Q224" s="399"/>
      <c r="R224" s="32"/>
    </row>
    <row r="225" spans="2:26" x14ac:dyDescent="0.25">
      <c r="B225" s="378" t="str">
        <f>Fluxo_de_Caixa_Janeiro[[#This Row],[Fluxo de Caixa 2026 CTR]]</f>
        <v>3.8.13.MULTA ATRASO PAGTO TRIBUTOS</v>
      </c>
      <c r="C225" s="357"/>
      <c r="D225" s="306"/>
      <c r="E225" s="306"/>
      <c r="F225" s="306"/>
      <c r="G225" s="306"/>
      <c r="H225" s="306"/>
      <c r="I225" s="357">
        <f>Fluxo_de_Caixa_Janeiro3459117[[#This Row],[JULHO]]</f>
        <v>0</v>
      </c>
      <c r="J225" s="306">
        <f>Fluxo_de_Caixa_Janeiro345911710[[#This Row],[AGOSTO]]</f>
        <v>0</v>
      </c>
      <c r="K225" s="306">
        <f>Fluxo_de_Caixa_Janeiro34591171012[[#This Row],[SETEMBRO]]</f>
        <v>0</v>
      </c>
      <c r="L225" s="306"/>
      <c r="M225" s="306"/>
      <c r="N225" s="306"/>
      <c r="O225" s="396">
        <f>SUM(Fluxo_de_Caixa_Janeiro310201314[[#This Row],[Janeiro]:[Dezembro]])</f>
        <v>0</v>
      </c>
      <c r="P225" s="398"/>
      <c r="Q225" s="399"/>
      <c r="R225" s="32"/>
    </row>
    <row r="226" spans="2:26" hidden="1" x14ac:dyDescent="0.25">
      <c r="B226" s="378">
        <f>Fluxo_de_Caixa_Janeiro[[#This Row],[Fluxo de Caixa 2026 CTR]]</f>
        <v>0</v>
      </c>
      <c r="C226" s="357"/>
      <c r="D226" s="306"/>
      <c r="E226" s="306"/>
      <c r="F226" s="306"/>
      <c r="G226" s="306"/>
      <c r="H226" s="306"/>
      <c r="I226" s="357">
        <f>Fluxo_de_Caixa_Janeiro3459117[[#This Row],[JULHO]]</f>
        <v>0</v>
      </c>
      <c r="J226" s="306">
        <f>Fluxo_de_Caixa_Janeiro345911710[[#This Row],[AGOSTO]]</f>
        <v>0</v>
      </c>
      <c r="K226" s="306">
        <f>Fluxo_de_Caixa_Janeiro34591171012[[#This Row],[SETEMBRO]]</f>
        <v>0</v>
      </c>
      <c r="L226" s="306"/>
      <c r="M226" s="306"/>
      <c r="N226" s="306"/>
      <c r="O226" s="396">
        <f>SUM(Fluxo_de_Caixa_Janeiro310201314[[#This Row],[Janeiro]:[Dezembro]])</f>
        <v>0</v>
      </c>
      <c r="P226" s="398"/>
      <c r="Q226" s="399"/>
      <c r="R226" s="32"/>
    </row>
    <row r="227" spans="2:26" hidden="1" x14ac:dyDescent="0.25">
      <c r="B227" s="378">
        <f>Fluxo_de_Caixa_Janeiro[[#This Row],[Fluxo de Caixa 2026 CTR]]</f>
        <v>0</v>
      </c>
      <c r="C227" s="357"/>
      <c r="D227" s="306"/>
      <c r="E227" s="306"/>
      <c r="F227" s="306"/>
      <c r="G227" s="306"/>
      <c r="H227" s="306"/>
      <c r="I227" s="357">
        <f>Fluxo_de_Caixa_Janeiro3459117[[#This Row],[JULHO]]</f>
        <v>0</v>
      </c>
      <c r="J227" s="306">
        <f>Fluxo_de_Caixa_Janeiro345911710[[#This Row],[AGOSTO]]</f>
        <v>0</v>
      </c>
      <c r="K227" s="306">
        <f>Fluxo_de_Caixa_Janeiro34591171012[[#This Row],[SETEMBRO]]</f>
        <v>0</v>
      </c>
      <c r="L227" s="306"/>
      <c r="M227" s="306"/>
      <c r="N227" s="306"/>
      <c r="O227" s="396">
        <f>SUM(Fluxo_de_Caixa_Janeiro310201314[[#This Row],[Janeiro]:[Dezembro]])</f>
        <v>0</v>
      </c>
      <c r="P227" s="398"/>
      <c r="Q227" s="399"/>
      <c r="R227" s="32"/>
    </row>
    <row r="228" spans="2:26" ht="15.75" thickBot="1" x14ac:dyDescent="0.3">
      <c r="B228" s="378" t="str">
        <f>Fluxo_de_Caixa_Janeiro[[#This Row],[Fluxo de Caixa 2026 CTR]]</f>
        <v>3.8.16. CRF Sobre Serviço</v>
      </c>
      <c r="C228" s="357"/>
      <c r="D228" s="306"/>
      <c r="E228" s="306"/>
      <c r="F228" s="306"/>
      <c r="G228" s="306"/>
      <c r="H228" s="306"/>
      <c r="I228" s="357">
        <f>Fluxo_de_Caixa_Janeiro3459117[[#This Row],[JULHO]]</f>
        <v>0</v>
      </c>
      <c r="J228" s="306">
        <f>Fluxo_de_Caixa_Janeiro345911710[[#This Row],[AGOSTO]]</f>
        <v>0</v>
      </c>
      <c r="K228" s="306">
        <f>Fluxo_de_Caixa_Janeiro34591171012[[#This Row],[SETEMBRO]]</f>
        <v>0</v>
      </c>
      <c r="L228" s="306"/>
      <c r="M228" s="306"/>
      <c r="N228" s="306"/>
      <c r="O228" s="396">
        <f>SUM(Fluxo_de_Caixa_Janeiro310201314[[#This Row],[Janeiro]:[Dezembro]])</f>
        <v>0</v>
      </c>
      <c r="P228" s="398"/>
      <c r="Q228" s="399"/>
      <c r="R228" s="32"/>
    </row>
    <row r="229" spans="2:26" hidden="1" x14ac:dyDescent="0.25">
      <c r="B229" s="378">
        <f>Fluxo_de_Caixa_Janeiro[[#This Row],[Fluxo de Caixa 2026 CTR]]</f>
        <v>0</v>
      </c>
      <c r="C229" s="357"/>
      <c r="D229" s="306"/>
      <c r="E229" s="306"/>
      <c r="F229" s="306"/>
      <c r="G229" s="306"/>
      <c r="H229" s="306"/>
      <c r="I229" s="357">
        <f>Fluxo_de_Caixa_Janeiro3459117[[#This Row],[JULHO]]</f>
        <v>0</v>
      </c>
      <c r="J229" s="306">
        <f>Fluxo_de_Caixa_Janeiro345911710[[#This Row],[AGOSTO]]</f>
        <v>0</v>
      </c>
      <c r="K229" s="306">
        <f>Fluxo_de_Caixa_Janeiro34591171012[[#This Row],[SETEMBRO]]</f>
        <v>0</v>
      </c>
      <c r="L229" s="306"/>
      <c r="M229" s="306"/>
      <c r="N229" s="306"/>
      <c r="O229" s="396">
        <f>SUM(Fluxo_de_Caixa_Janeiro310201314[[#This Row],[Janeiro]:[Dezembro]])</f>
        <v>0</v>
      </c>
      <c r="P229" s="398"/>
      <c r="Q229" s="399"/>
      <c r="R229" s="32"/>
    </row>
    <row r="230" spans="2:26" ht="15.75" hidden="1" thickBot="1" x14ac:dyDescent="0.3">
      <c r="B230" s="389">
        <f>Fluxo_de_Caixa_Janeiro[[#This Row],[Fluxo de Caixa 2026 CTR]]</f>
        <v>0</v>
      </c>
      <c r="C230" s="366"/>
      <c r="D230" s="367"/>
      <c r="E230" s="367"/>
      <c r="F230" s="367"/>
      <c r="G230" s="367"/>
      <c r="H230" s="367"/>
      <c r="I230" s="366">
        <f>Fluxo_de_Caixa_Janeiro3459117[[#This Row],[JULHO]]</f>
        <v>0</v>
      </c>
      <c r="J230" s="367">
        <f>Fluxo_de_Caixa_Janeiro345911710[[#This Row],[AGOSTO]]</f>
        <v>0</v>
      </c>
      <c r="K230" s="367">
        <f>Fluxo_de_Caixa_Janeiro34591171012[[#This Row],[SETEMBRO]]</f>
        <v>0</v>
      </c>
      <c r="L230" s="367"/>
      <c r="M230" s="367"/>
      <c r="N230" s="368"/>
      <c r="O230" s="400">
        <f>SUM(Fluxo_de_Caixa_Janeiro310201314[[#This Row],[Janeiro]:[Dezembro]])</f>
        <v>0</v>
      </c>
      <c r="P230" s="401"/>
      <c r="Q230" s="402"/>
      <c r="R230" s="32"/>
    </row>
    <row r="231" spans="2:26" ht="19.5" thickBot="1" x14ac:dyDescent="0.35">
      <c r="B231" s="277" t="str">
        <f>Fluxo_de_Caixa_Janeiro[[#This Row],[Fluxo de Caixa 2026 CTR]]</f>
        <v>3.9. PATROCINIO / BONIFICAÇÃO</v>
      </c>
      <c r="C231" s="158"/>
      <c r="D231" s="97"/>
      <c r="E231" s="97"/>
      <c r="F231" s="97"/>
      <c r="G231" s="97"/>
      <c r="H231" s="97"/>
      <c r="I231" s="158">
        <f>Fluxo_de_Caixa_Janeiro3459117[[#This Row],[JULHO]]</f>
        <v>0</v>
      </c>
      <c r="J231" s="97">
        <f>Fluxo_de_Caixa_Janeiro345911710[[#This Row],[AGOSTO]]</f>
        <v>0</v>
      </c>
      <c r="K231" s="97">
        <f>Fluxo_de_Caixa_Janeiro34591171012[[#This Row],[SETEMBRO]]</f>
        <v>0</v>
      </c>
      <c r="L231" s="97"/>
      <c r="M231" s="97"/>
      <c r="N231" s="129"/>
      <c r="O231" s="226">
        <f>SUM(Fluxo_de_Caixa_Janeiro310201314[[#This Row],[Janeiro]:[Dezembro]])</f>
        <v>0</v>
      </c>
      <c r="P231" s="144">
        <f>-IFERROR(C231/$C$27,"0,00")</f>
        <v>0</v>
      </c>
      <c r="Q231" s="98"/>
      <c r="R231" s="32"/>
    </row>
    <row r="232" spans="2:26" x14ac:dyDescent="0.25">
      <c r="B232" s="378" t="str">
        <f>Fluxo_de_Caixa_Janeiro[[#This Row],[Fluxo de Caixa 2026 CTR]]</f>
        <v>3.9.01.PATROCÍNIO  EM DINHEIRO</v>
      </c>
      <c r="C232" s="366"/>
      <c r="D232" s="367"/>
      <c r="E232" s="367"/>
      <c r="F232" s="367"/>
      <c r="G232" s="367"/>
      <c r="H232" s="367"/>
      <c r="I232" s="366">
        <f>Fluxo_de_Caixa_Janeiro3459117[[#This Row],[JULHO]]</f>
        <v>0</v>
      </c>
      <c r="J232" s="367">
        <f>Fluxo_de_Caixa_Janeiro345911710[[#This Row],[AGOSTO]]</f>
        <v>0</v>
      </c>
      <c r="K232" s="367">
        <f>Fluxo_de_Caixa_Janeiro34591171012[[#This Row],[SETEMBRO]]</f>
        <v>0</v>
      </c>
      <c r="L232" s="367"/>
      <c r="M232" s="367"/>
      <c r="N232" s="368"/>
      <c r="O232" s="224">
        <f>SUM(Fluxo_de_Caixa_Janeiro310201314[[#This Row],[Janeiro]:[Dezembro]])</f>
        <v>0</v>
      </c>
      <c r="P232" s="194" t="str">
        <f>IFERROR(O232/$O$27,"0,00%")</f>
        <v>0,00%</v>
      </c>
      <c r="Q232" s="75"/>
      <c r="R232" s="32"/>
    </row>
    <row r="233" spans="2:26" ht="15.75" thickBot="1" x14ac:dyDescent="0.3">
      <c r="B233" s="55" t="str">
        <f>Fluxo_de_Caixa_Janeiro[[#This Row],[Fluxo de Caixa 2026 CTR]]</f>
        <v>3.9.02.BONIFICAÇÃO EM PRODUTOS</v>
      </c>
      <c r="C233" s="35"/>
      <c r="D233" s="62"/>
      <c r="E233" s="62"/>
      <c r="F233" s="62"/>
      <c r="G233" s="62"/>
      <c r="H233" s="62"/>
      <c r="I233" s="35">
        <f>Fluxo_de_Caixa_Janeiro3459117[[#This Row],[JULHO]]</f>
        <v>0</v>
      </c>
      <c r="J233" s="62">
        <f>Fluxo_de_Caixa_Janeiro345911710[[#This Row],[AGOSTO]]</f>
        <v>0</v>
      </c>
      <c r="K233" s="62">
        <f>Fluxo_de_Caixa_Janeiro34591171012[[#This Row],[SETEMBRO]]</f>
        <v>0</v>
      </c>
      <c r="L233" s="62"/>
      <c r="M233" s="62"/>
      <c r="N233" s="119"/>
      <c r="O233" s="224">
        <f>SUM(Fluxo_de_Caixa_Janeiro310201314[[#This Row],[Janeiro]:[Dezembro]])</f>
        <v>0</v>
      </c>
      <c r="P233" s="194" t="str">
        <f>IFERROR(O233/$O$27,"0,00%")</f>
        <v>0,00%</v>
      </c>
      <c r="Q233" s="75"/>
      <c r="R233" s="32" t="str">
        <f>IF(Fluxo_de_Caixa_Janeiro310201314[[#This Row],[% ACUMULADO  3º SEMEST 2026]]&lt;=Fluxo_de_Caixa_Janeiro310201314[[#This Row],[Coluna1]],"VERDADEIRO","FALSO")</f>
        <v>FALSO</v>
      </c>
    </row>
    <row r="234" spans="2:26" hidden="1" x14ac:dyDescent="0.25">
      <c r="B234" s="55">
        <f>Fluxo_de_Caixa_Janeiro[[#This Row],[Fluxo de Caixa 2026 CTR]]</f>
        <v>0</v>
      </c>
      <c r="C234" s="35"/>
      <c r="D234" s="62"/>
      <c r="E234" s="62"/>
      <c r="F234" s="62"/>
      <c r="G234" s="62"/>
      <c r="H234" s="62"/>
      <c r="I234" s="35">
        <f>Fluxo_de_Caixa_Janeiro3459117[[#This Row],[JULHO]]</f>
        <v>0</v>
      </c>
      <c r="J234" s="62">
        <f>Fluxo_de_Caixa_Janeiro345911710[[#This Row],[AGOSTO]]</f>
        <v>0</v>
      </c>
      <c r="K234" s="62">
        <f>Fluxo_de_Caixa_Janeiro34591171012[[#This Row],[SETEMBRO]]</f>
        <v>0</v>
      </c>
      <c r="L234" s="62"/>
      <c r="M234" s="62"/>
      <c r="N234" s="119"/>
      <c r="O234" s="224">
        <f>SUM(Fluxo_de_Caixa_Janeiro310201314[[#This Row],[Janeiro]:[Dezembro]])</f>
        <v>0</v>
      </c>
      <c r="P234" s="194" t="str">
        <f>IFERROR(O234/$O$27,"0,00%")</f>
        <v>0,00%</v>
      </c>
      <c r="Q234" s="75"/>
      <c r="R234" s="32" t="str">
        <f>IF(Fluxo_de_Caixa_Janeiro310201314[[#This Row],[% ACUMULADO  3º SEMEST 2026]]&lt;=Fluxo_de_Caixa_Janeiro310201314[[#This Row],[Coluna1]],"VERDADEIRO","FALSO")</f>
        <v>FALSO</v>
      </c>
    </row>
    <row r="235" spans="2:26" ht="15.75" hidden="1" thickBot="1" x14ac:dyDescent="0.3">
      <c r="B235" s="276">
        <f>Fluxo_de_Caixa_Janeiro[[#This Row],[Fluxo de Caixa 2026 CTR]]</f>
        <v>0</v>
      </c>
      <c r="C235" s="36"/>
      <c r="D235" s="82"/>
      <c r="E235" s="82"/>
      <c r="F235" s="82"/>
      <c r="G235" s="82"/>
      <c r="H235" s="82"/>
      <c r="I235" s="36">
        <f>Fluxo_de_Caixa_Janeiro3459117[[#This Row],[JULHO]]</f>
        <v>0</v>
      </c>
      <c r="J235" s="82">
        <f>Fluxo_de_Caixa_Janeiro345911710[[#This Row],[AGOSTO]]</f>
        <v>0</v>
      </c>
      <c r="K235" s="82">
        <f>Fluxo_de_Caixa_Janeiro34591171012[[#This Row],[SETEMBRO]]</f>
        <v>0</v>
      </c>
      <c r="L235" s="82"/>
      <c r="M235" s="82"/>
      <c r="N235" s="120"/>
      <c r="O235" s="225">
        <f>SUM(Fluxo_de_Caixa_Janeiro310201314[[#This Row],[Janeiro]:[Dezembro]])</f>
        <v>0</v>
      </c>
      <c r="P235" s="195" t="str">
        <f>IFERROR(O235/$O$27,"0,00%")</f>
        <v>0,00%</v>
      </c>
      <c r="Q235" s="96"/>
      <c r="R235" s="32" t="str">
        <f>IF(Fluxo_de_Caixa_Janeiro310201314[[#This Row],[% ACUMULADO  3º SEMEST 2026]]&lt;=Fluxo_de_Caixa_Janeiro310201314[[#This Row],[Coluna1]],"VERDADEIRO","FALSO")</f>
        <v>FALSO</v>
      </c>
    </row>
    <row r="236" spans="2:26" ht="27.6" customHeight="1" thickBot="1" x14ac:dyDescent="0.4">
      <c r="B236" s="170" t="str">
        <f>Fluxo_de_Caixa_Janeiro[[#This Row],[Fluxo de Caixa 2026 CTR]]</f>
        <v>Total das Despesas Operacionais</v>
      </c>
      <c r="C236" s="159"/>
      <c r="D236" s="100"/>
      <c r="E236" s="100"/>
      <c r="F236" s="100"/>
      <c r="G236" s="100"/>
      <c r="H236" s="100"/>
      <c r="I236" s="159">
        <f>Fluxo_de_Caixa_Janeiro3459117[[#This Row],[JULHO]]</f>
        <v>0</v>
      </c>
      <c r="J236" s="100">
        <f>Fluxo_de_Caixa_Janeiro345911710[[#This Row],[AGOSTO]]</f>
        <v>0</v>
      </c>
      <c r="K236" s="100">
        <f>Fluxo_de_Caixa_Janeiro34591171012[[#This Row],[SETEMBRO]]</f>
        <v>0</v>
      </c>
      <c r="L236" s="100"/>
      <c r="M236" s="100"/>
      <c r="N236" s="130"/>
      <c r="O236" s="227">
        <f>SUM(Fluxo_de_Caixa_Janeiro310201314[[#This Row],[Janeiro]:[Dezembro]])</f>
        <v>0</v>
      </c>
      <c r="P236" s="196" t="str">
        <f>IFERROR(O236/O27,"0,00%")</f>
        <v>0,00%</v>
      </c>
      <c r="Q236" s="101"/>
      <c r="R236" s="32" t="str">
        <f>IF(Fluxo_de_Caixa_Janeiro310201314[[#This Row],[% ACUMULADO  3º SEMEST 2026]]&gt;=Fluxo_de_Caixa_Janeiro310201314[[#This Row],[Coluna1]],"VERDADEIRO","FALSO")</f>
        <v>VERDADEIRO</v>
      </c>
    </row>
    <row r="237" spans="2:26" ht="27" thickBot="1" x14ac:dyDescent="0.45">
      <c r="B237" s="171" t="str">
        <f>Fluxo_de_Caixa_Janeiro[[#This Row],[Fluxo de Caixa 2026 CTR]]</f>
        <v>Saldo Operacional Liquido</v>
      </c>
      <c r="C237" s="160"/>
      <c r="D237" s="102"/>
      <c r="E237" s="102"/>
      <c r="F237" s="102"/>
      <c r="G237" s="102"/>
      <c r="H237" s="102"/>
      <c r="I237" s="160">
        <f>Fluxo_de_Caixa_Janeiro3459117[[#This Row],[JULHO]]</f>
        <v>0</v>
      </c>
      <c r="J237" s="102">
        <f>Fluxo_de_Caixa_Janeiro345911710[[#This Row],[AGOSTO]]</f>
        <v>0</v>
      </c>
      <c r="K237" s="102">
        <f>Fluxo_de_Caixa_Janeiro34591171012[[#This Row],[SETEMBRO]]</f>
        <v>0</v>
      </c>
      <c r="L237" s="102"/>
      <c r="M237" s="102"/>
      <c r="N237" s="131"/>
      <c r="O237" s="228">
        <f>SUM(Fluxo_de_Caixa_Janeiro310201314[[#This Row],[Janeiro]:[Dezembro]])</f>
        <v>0</v>
      </c>
      <c r="P237" s="197" t="str">
        <f>IFERROR(O237/O27,"0,00%")</f>
        <v>0,00%</v>
      </c>
      <c r="Q237" s="99"/>
      <c r="R237" s="32" t="str">
        <f>IF(Fluxo_de_Caixa_Janeiro310201314[[#This Row],[% ACUMULADO  3º SEMEST 2026]]&gt;=Fluxo_de_Caixa_Janeiro310201314[[#This Row],[Coluna1]],"VERDADEIRO","FALSO")</f>
        <v>VERDADEIRO</v>
      </c>
      <c r="S237" s="1"/>
      <c r="T237" s="1"/>
      <c r="U237" s="1"/>
      <c r="V237" s="1"/>
      <c r="W237" s="1"/>
      <c r="X237" s="1"/>
      <c r="Y237" s="1"/>
      <c r="Z237" s="1"/>
    </row>
    <row r="238" spans="2:26" s="1" customFormat="1" ht="24" thickBot="1" x14ac:dyDescent="0.4">
      <c r="B238" s="172" t="str">
        <f>Fluxo_de_Caixa_Janeiro[[#This Row],[Fluxo de Caixa 2026 CTR]]</f>
        <v>Receitas Não Operacionais Totais</v>
      </c>
      <c r="C238" s="161"/>
      <c r="D238" s="103"/>
      <c r="E238" s="103"/>
      <c r="F238" s="103"/>
      <c r="G238" s="103"/>
      <c r="H238" s="103"/>
      <c r="I238" s="161">
        <f>Fluxo_de_Caixa_Janeiro3459117[[#This Row],[JULHO]]</f>
        <v>0</v>
      </c>
      <c r="J238" s="103">
        <f>Fluxo_de_Caixa_Janeiro345911710[[#This Row],[AGOSTO]]</f>
        <v>0</v>
      </c>
      <c r="K238" s="103">
        <f>Fluxo_de_Caixa_Janeiro34591171012[[#This Row],[SETEMBRO]]</f>
        <v>0</v>
      </c>
      <c r="L238" s="103"/>
      <c r="M238" s="103"/>
      <c r="N238" s="132"/>
      <c r="O238" s="229">
        <f>SUM(Fluxo_de_Caixa_Janeiro310201314[[#This Row],[Janeiro]:[Dezembro]])</f>
        <v>0</v>
      </c>
      <c r="P238" s="145">
        <f>SUM(P239,P248,P261)</f>
        <v>0</v>
      </c>
      <c r="Q238" s="145"/>
      <c r="R238" s="32" t="str">
        <f>IF(Fluxo_de_Caixa_Janeiro310201314[[#This Row],[% ACUMULADO  3º SEMEST 2026]]&gt;=Fluxo_de_Caixa_Janeiro310201314[[#This Row],[Coluna1]],"VERDADEIRO","FALSO")</f>
        <v>VERDADEIRO</v>
      </c>
    </row>
    <row r="239" spans="2:26" s="1" customFormat="1" ht="24" thickBot="1" x14ac:dyDescent="0.4">
      <c r="B239" s="57" t="str">
        <f>Fluxo_de_Caixa_Janeiro[[#This Row],[Fluxo de Caixa 2026 CTR]]</f>
        <v>4.1. Receita de Empréstimo</v>
      </c>
      <c r="C239" s="44"/>
      <c r="D239" s="85"/>
      <c r="E239" s="85"/>
      <c r="F239" s="85"/>
      <c r="G239" s="85"/>
      <c r="H239" s="85"/>
      <c r="I239" s="44">
        <f>Fluxo_de_Caixa_Janeiro3459117[[#This Row],[JULHO]]</f>
        <v>0</v>
      </c>
      <c r="J239" s="85">
        <f>Fluxo_de_Caixa_Janeiro345911710[[#This Row],[AGOSTO]]</f>
        <v>0</v>
      </c>
      <c r="K239" s="85">
        <f>Fluxo_de_Caixa_Janeiro34591171012[[#This Row],[SETEMBRO]]</f>
        <v>0</v>
      </c>
      <c r="L239" s="85"/>
      <c r="M239" s="85"/>
      <c r="N239" s="122"/>
      <c r="O239" s="212">
        <f>SUM(Fluxo_de_Caixa_Janeiro310201314[[#This Row],[Janeiro]:[Dezembro]])</f>
        <v>0</v>
      </c>
      <c r="P239" s="25" t="str">
        <f t="shared" ref="P239:P271" si="13">IF(O239=0,"0,00%",O239/$O$332)</f>
        <v>0,00%</v>
      </c>
      <c r="Q239" s="25"/>
      <c r="R239" s="32" t="str">
        <f>IF(Fluxo_de_Caixa_Janeiro310201314[[#This Row],[% ACUMULADO  3º SEMEST 2026]]&gt;=Fluxo_de_Caixa_Janeiro310201314[[#This Row],[Coluna1]],"VERDADEIRO","FALSO")</f>
        <v>VERDADEIRO</v>
      </c>
    </row>
    <row r="240" spans="2:26" x14ac:dyDescent="0.25">
      <c r="B240" s="49" t="str">
        <f>Fluxo_de_Caixa_Janeiro[[#This Row],[Fluxo de Caixa 2026 CTR]]</f>
        <v>4.1.01 Bancário</v>
      </c>
      <c r="C240" s="41"/>
      <c r="D240" s="81"/>
      <c r="E240" s="81"/>
      <c r="F240" s="81"/>
      <c r="G240" s="81"/>
      <c r="H240" s="81"/>
      <c r="I240" s="41">
        <f>Fluxo_de_Caixa_Janeiro3459117[[#This Row],[JULHO]]</f>
        <v>0</v>
      </c>
      <c r="J240" s="81">
        <f>Fluxo_de_Caixa_Janeiro345911710[[#This Row],[AGOSTO]]</f>
        <v>0</v>
      </c>
      <c r="K240" s="81">
        <f>Fluxo_de_Caixa_Janeiro34591171012[[#This Row],[SETEMBRO]]</f>
        <v>0</v>
      </c>
      <c r="L240" s="81"/>
      <c r="M240" s="81"/>
      <c r="N240" s="118"/>
      <c r="O240" s="230">
        <f>SUM(Fluxo_de_Caixa_Janeiro310201314[[#This Row],[Janeiro]:[Dezembro]])</f>
        <v>0</v>
      </c>
      <c r="P240" s="29" t="str">
        <f t="shared" si="13"/>
        <v>0,00%</v>
      </c>
      <c r="Q240" s="20"/>
      <c r="R240" s="32" t="str">
        <f>IF(Fluxo_de_Caixa_Janeiro310201314[[#This Row],[% ACUMULADO  3º SEMEST 2026]]&gt;=Fluxo_de_Caixa_Janeiro310201314[[#This Row],[Coluna1]],"VERDADEIRO","FALSO")</f>
        <v>VERDADEIRO</v>
      </c>
    </row>
    <row r="241" spans="2:18" x14ac:dyDescent="0.25">
      <c r="B241" s="49" t="str">
        <f>Fluxo_de_Caixa_Janeiro[[#This Row],[Fluxo de Caixa 2026 CTR]]</f>
        <v>4.1.02 Financiamento</v>
      </c>
      <c r="C241" s="35"/>
      <c r="D241" s="62"/>
      <c r="E241" s="62"/>
      <c r="F241" s="62"/>
      <c r="G241" s="62"/>
      <c r="H241" s="62"/>
      <c r="I241" s="35">
        <f>Fluxo_de_Caixa_Janeiro3459117[[#This Row],[JULHO]]</f>
        <v>0</v>
      </c>
      <c r="J241" s="62">
        <f>Fluxo_de_Caixa_Janeiro345911710[[#This Row],[AGOSTO]]</f>
        <v>0</v>
      </c>
      <c r="K241" s="62">
        <f>Fluxo_de_Caixa_Janeiro34591171012[[#This Row],[SETEMBRO]]</f>
        <v>0</v>
      </c>
      <c r="L241" s="62"/>
      <c r="M241" s="62"/>
      <c r="N241" s="119"/>
      <c r="O241" s="231">
        <f>SUM(Fluxo_de_Caixa_Janeiro310201314[[#This Row],[Janeiro]:[Dezembro]])</f>
        <v>0</v>
      </c>
      <c r="P241" s="140" t="str">
        <f t="shared" si="13"/>
        <v>0,00%</v>
      </c>
      <c r="Q241" s="24"/>
      <c r="R241" s="32" t="str">
        <f>IF(Fluxo_de_Caixa_Janeiro310201314[[#This Row],[% ACUMULADO  3º SEMEST 2026]]&gt;=Fluxo_de_Caixa_Janeiro310201314[[#This Row],[Coluna1]],"VERDADEIRO","FALSO")</f>
        <v>VERDADEIRO</v>
      </c>
    </row>
    <row r="242" spans="2:18" x14ac:dyDescent="0.25">
      <c r="B242" s="49" t="str">
        <f>Fluxo_de_Caixa_Janeiro[[#This Row],[Fluxo de Caixa 2026 CTR]]</f>
        <v>4.1.03 Entre Lojas do Grupo</v>
      </c>
      <c r="C242" s="35"/>
      <c r="D242" s="62"/>
      <c r="E242" s="62"/>
      <c r="F242" s="62"/>
      <c r="G242" s="62"/>
      <c r="H242" s="62"/>
      <c r="I242" s="35">
        <f>Fluxo_de_Caixa_Janeiro3459117[[#This Row],[JULHO]]</f>
        <v>0</v>
      </c>
      <c r="J242" s="62">
        <f>Fluxo_de_Caixa_Janeiro345911710[[#This Row],[AGOSTO]]</f>
        <v>0</v>
      </c>
      <c r="K242" s="62">
        <f>Fluxo_de_Caixa_Janeiro34591171012[[#This Row],[SETEMBRO]]</f>
        <v>0</v>
      </c>
      <c r="L242" s="62"/>
      <c r="M242" s="62"/>
      <c r="N242" s="119"/>
      <c r="O242" s="231">
        <f>SUM(Fluxo_de_Caixa_Janeiro310201314[[#This Row],[Janeiro]:[Dezembro]])</f>
        <v>0</v>
      </c>
      <c r="P242" s="140" t="str">
        <f t="shared" si="13"/>
        <v>0,00%</v>
      </c>
      <c r="Q242" s="24"/>
      <c r="R242" s="32" t="str">
        <f>IF(Fluxo_de_Caixa_Janeiro310201314[[#This Row],[% ACUMULADO  3º SEMEST 2026]]&gt;=Fluxo_de_Caixa_Janeiro310201314[[#This Row],[Coluna1]],"VERDADEIRO","FALSO")</f>
        <v>VERDADEIRO</v>
      </c>
    </row>
    <row r="243" spans="2:18" ht="15.75" thickBot="1" x14ac:dyDescent="0.3">
      <c r="B243" s="56" t="str">
        <f>Fluxo_de_Caixa_Janeiro[[#This Row],[Fluxo de Caixa 2026 CTR]]</f>
        <v>4.1.04 Pessoa Física</v>
      </c>
      <c r="C243" s="35"/>
      <c r="D243" s="62"/>
      <c r="E243" s="62"/>
      <c r="F243" s="62"/>
      <c r="G243" s="62"/>
      <c r="H243" s="62"/>
      <c r="I243" s="35">
        <f>Fluxo_de_Caixa_Janeiro3459117[[#This Row],[JULHO]]</f>
        <v>0</v>
      </c>
      <c r="J243" s="62">
        <f>Fluxo_de_Caixa_Janeiro345911710[[#This Row],[AGOSTO]]</f>
        <v>0</v>
      </c>
      <c r="K243" s="62">
        <f>Fluxo_de_Caixa_Janeiro34591171012[[#This Row],[SETEMBRO]]</f>
        <v>0</v>
      </c>
      <c r="L243" s="62"/>
      <c r="M243" s="62"/>
      <c r="N243" s="119"/>
      <c r="O243" s="231">
        <f>SUM(Fluxo_de_Caixa_Janeiro310201314[[#This Row],[Janeiro]:[Dezembro]])</f>
        <v>0</v>
      </c>
      <c r="P243" s="140" t="str">
        <f t="shared" si="13"/>
        <v>0,00%</v>
      </c>
      <c r="Q243" s="24"/>
      <c r="R243" s="32" t="str">
        <f>IF(Fluxo_de_Caixa_Janeiro310201314[[#This Row],[% ACUMULADO  3º SEMEST 2026]]&gt;=Fluxo_de_Caixa_Janeiro310201314[[#This Row],[Coluna1]],"VERDADEIRO","FALSO")</f>
        <v>VERDADEIRO</v>
      </c>
    </row>
    <row r="244" spans="2:18" hidden="1" x14ac:dyDescent="0.25">
      <c r="B244" s="50">
        <f>Fluxo_de_Caixa_Janeiro[[#This Row],[Fluxo de Caixa 2026 CTR]]</f>
        <v>0</v>
      </c>
      <c r="C244" s="35"/>
      <c r="D244" s="62"/>
      <c r="E244" s="62"/>
      <c r="F244" s="62"/>
      <c r="G244" s="62"/>
      <c r="H244" s="62"/>
      <c r="I244" s="35">
        <f>Fluxo_de_Caixa_Janeiro3459117[[#This Row],[JULHO]]</f>
        <v>0</v>
      </c>
      <c r="J244" s="62">
        <f>Fluxo_de_Caixa_Janeiro345911710[[#This Row],[AGOSTO]]</f>
        <v>0</v>
      </c>
      <c r="K244" s="62">
        <f>Fluxo_de_Caixa_Janeiro34591171012[[#This Row],[SETEMBRO]]</f>
        <v>0</v>
      </c>
      <c r="L244" s="62"/>
      <c r="M244" s="62"/>
      <c r="N244" s="119"/>
      <c r="O244" s="231">
        <f>SUM(Fluxo_de_Caixa_Janeiro310201314[[#This Row],[Janeiro]:[Dezembro]])</f>
        <v>0</v>
      </c>
      <c r="P244" s="140" t="str">
        <f t="shared" si="13"/>
        <v>0,00%</v>
      </c>
      <c r="Q244" s="24"/>
      <c r="R244" s="32" t="str">
        <f>IF(Fluxo_de_Caixa_Janeiro310201314[[#This Row],[% ACUMULADO  3º SEMEST 2026]]&gt;=Fluxo_de_Caixa_Janeiro310201314[[#This Row],[Coluna1]],"VERDADEIRO","FALSO")</f>
        <v>VERDADEIRO</v>
      </c>
    </row>
    <row r="245" spans="2:18" hidden="1" x14ac:dyDescent="0.25">
      <c r="B245" s="50">
        <f>Fluxo_de_Caixa_Janeiro[[#This Row],[Fluxo de Caixa 2026 CTR]]</f>
        <v>0</v>
      </c>
      <c r="C245" s="35"/>
      <c r="D245" s="62"/>
      <c r="E245" s="62"/>
      <c r="F245" s="62"/>
      <c r="G245" s="62"/>
      <c r="H245" s="62"/>
      <c r="I245" s="35">
        <f>Fluxo_de_Caixa_Janeiro3459117[[#This Row],[JULHO]]</f>
        <v>0</v>
      </c>
      <c r="J245" s="62">
        <f>Fluxo_de_Caixa_Janeiro345911710[[#This Row],[AGOSTO]]</f>
        <v>0</v>
      </c>
      <c r="K245" s="62">
        <f>Fluxo_de_Caixa_Janeiro34591171012[[#This Row],[SETEMBRO]]</f>
        <v>0</v>
      </c>
      <c r="L245" s="62"/>
      <c r="M245" s="62"/>
      <c r="N245" s="119"/>
      <c r="O245" s="231">
        <f>SUM(Fluxo_de_Caixa_Janeiro310201314[[#This Row],[Janeiro]:[Dezembro]])</f>
        <v>0</v>
      </c>
      <c r="P245" s="140" t="str">
        <f t="shared" si="13"/>
        <v>0,00%</v>
      </c>
      <c r="Q245" s="24"/>
      <c r="R245" s="32" t="str">
        <f>IF(Fluxo_de_Caixa_Janeiro310201314[[#This Row],[% ACUMULADO  3º SEMEST 2026]]&gt;=Fluxo_de_Caixa_Janeiro310201314[[#This Row],[Coluna1]],"VERDADEIRO","FALSO")</f>
        <v>VERDADEIRO</v>
      </c>
    </row>
    <row r="246" spans="2:18" hidden="1" x14ac:dyDescent="0.25">
      <c r="B246" s="50">
        <f>Fluxo_de_Caixa_Janeiro[[#This Row],[Fluxo de Caixa 2026 CTR]]</f>
        <v>0</v>
      </c>
      <c r="C246" s="35"/>
      <c r="D246" s="62"/>
      <c r="E246" s="62"/>
      <c r="F246" s="62"/>
      <c r="G246" s="62"/>
      <c r="H246" s="62"/>
      <c r="I246" s="35">
        <f>Fluxo_de_Caixa_Janeiro3459117[[#This Row],[JULHO]]</f>
        <v>0</v>
      </c>
      <c r="J246" s="62">
        <f>Fluxo_de_Caixa_Janeiro345911710[[#This Row],[AGOSTO]]</f>
        <v>0</v>
      </c>
      <c r="K246" s="62">
        <f>Fluxo_de_Caixa_Janeiro34591171012[[#This Row],[SETEMBRO]]</f>
        <v>0</v>
      </c>
      <c r="L246" s="62"/>
      <c r="M246" s="62"/>
      <c r="N246" s="119"/>
      <c r="O246" s="231">
        <f>SUM(Fluxo_de_Caixa_Janeiro310201314[[#This Row],[Janeiro]:[Dezembro]])</f>
        <v>0</v>
      </c>
      <c r="P246" s="140" t="str">
        <f t="shared" si="13"/>
        <v>0,00%</v>
      </c>
      <c r="Q246" s="24"/>
      <c r="R246" s="32" t="str">
        <f>IF(Fluxo_de_Caixa_Janeiro310201314[[#This Row],[% ACUMULADO  3º SEMEST 2026]]&gt;=Fluxo_de_Caixa_Janeiro310201314[[#This Row],[Coluna1]],"VERDADEIRO","FALSO")</f>
        <v>VERDADEIRO</v>
      </c>
    </row>
    <row r="247" spans="2:18" ht="15.75" hidden="1" thickBot="1" x14ac:dyDescent="0.3">
      <c r="B247" s="58">
        <f>Fluxo_de_Caixa_Janeiro[[#This Row],[Fluxo de Caixa 2026 CTR]]</f>
        <v>0</v>
      </c>
      <c r="C247" s="36"/>
      <c r="D247" s="82"/>
      <c r="E247" s="82"/>
      <c r="F247" s="82"/>
      <c r="G247" s="82"/>
      <c r="H247" s="82"/>
      <c r="I247" s="36">
        <f>Fluxo_de_Caixa_Janeiro3459117[[#This Row],[JULHO]]</f>
        <v>0</v>
      </c>
      <c r="J247" s="82">
        <f>Fluxo_de_Caixa_Janeiro345911710[[#This Row],[AGOSTO]]</f>
        <v>0</v>
      </c>
      <c r="K247" s="82">
        <f>Fluxo_de_Caixa_Janeiro34591171012[[#This Row],[SETEMBRO]]</f>
        <v>0</v>
      </c>
      <c r="L247" s="82"/>
      <c r="M247" s="82"/>
      <c r="N247" s="120"/>
      <c r="O247" s="232">
        <f>SUM(Fluxo_de_Caixa_Janeiro310201314[[#This Row],[Janeiro]:[Dezembro]])</f>
        <v>0</v>
      </c>
      <c r="P247" s="141" t="str">
        <f t="shared" si="13"/>
        <v>0,00%</v>
      </c>
      <c r="Q247" s="59"/>
      <c r="R247" s="32" t="str">
        <f>IF(Fluxo_de_Caixa_Janeiro310201314[[#This Row],[% ACUMULADO  3º SEMEST 2026]]&gt;=Fluxo_de_Caixa_Janeiro310201314[[#This Row],[Coluna1]],"VERDADEIRO","FALSO")</f>
        <v>VERDADEIRO</v>
      </c>
    </row>
    <row r="248" spans="2:18" s="1" customFormat="1" ht="24" thickBot="1" x14ac:dyDescent="0.4">
      <c r="B248" s="48" t="str">
        <f>Fluxo_de_Caixa_Janeiro[[#This Row],[Fluxo de Caixa 2026 CTR]]</f>
        <v>4.2. Receita de Investimento</v>
      </c>
      <c r="C248" s="38"/>
      <c r="D248" s="87"/>
      <c r="E248" s="87"/>
      <c r="F248" s="87"/>
      <c r="G248" s="87"/>
      <c r="H248" s="87"/>
      <c r="I248" s="38">
        <f>Fluxo_de_Caixa_Janeiro3459117[[#This Row],[JULHO]]</f>
        <v>0</v>
      </c>
      <c r="J248" s="87">
        <f>Fluxo_de_Caixa_Janeiro345911710[[#This Row],[AGOSTO]]</f>
        <v>0</v>
      </c>
      <c r="K248" s="87">
        <f>Fluxo_de_Caixa_Janeiro34591171012[[#This Row],[SETEMBRO]]</f>
        <v>0</v>
      </c>
      <c r="L248" s="87"/>
      <c r="M248" s="87"/>
      <c r="N248" s="125"/>
      <c r="O248" s="216">
        <f>SUM(Fluxo_de_Caixa_Janeiro310201314[[#This Row],[Janeiro]:[Dezembro]])</f>
        <v>0</v>
      </c>
      <c r="P248" s="247" t="str">
        <f t="shared" si="13"/>
        <v>0,00%</v>
      </c>
      <c r="Q248" s="19"/>
      <c r="R248" s="32" t="str">
        <f>IF(Fluxo_de_Caixa_Janeiro310201314[[#This Row],[% ACUMULADO  3º SEMEST 2026]]&gt;=Fluxo_de_Caixa_Janeiro310201314[[#This Row],[Coluna1]],"VERDADEIRO","FALSO")</f>
        <v>VERDADEIRO</v>
      </c>
    </row>
    <row r="249" spans="2:18" x14ac:dyDescent="0.25">
      <c r="B249" s="49" t="str">
        <f>Fluxo_de_Caixa_Janeiro[[#This Row],[Fluxo de Caixa 2026 CTR]]</f>
        <v>4.2.01 Venda de Imóveis/terrenos</v>
      </c>
      <c r="C249" s="41"/>
      <c r="D249" s="81"/>
      <c r="E249" s="81"/>
      <c r="F249" s="81"/>
      <c r="G249" s="81"/>
      <c r="H249" s="81"/>
      <c r="I249" s="41">
        <f>Fluxo_de_Caixa_Janeiro3459117[[#This Row],[JULHO]]</f>
        <v>0</v>
      </c>
      <c r="J249" s="81">
        <f>Fluxo_de_Caixa_Janeiro345911710[[#This Row],[AGOSTO]]</f>
        <v>0</v>
      </c>
      <c r="K249" s="81">
        <f>Fluxo_de_Caixa_Janeiro34591171012[[#This Row],[SETEMBRO]]</f>
        <v>0</v>
      </c>
      <c r="L249" s="81"/>
      <c r="M249" s="81"/>
      <c r="N249" s="118"/>
      <c r="O249" s="230">
        <f>SUM(Fluxo_de_Caixa_Janeiro310201314[[#This Row],[Janeiro]:[Dezembro]])</f>
        <v>0</v>
      </c>
      <c r="P249" s="29" t="str">
        <f t="shared" si="13"/>
        <v>0,00%</v>
      </c>
      <c r="Q249" s="20"/>
      <c r="R249" s="32" t="str">
        <f>IF(Fluxo_de_Caixa_Janeiro310201314[[#This Row],[% ACUMULADO  3º SEMEST 2026]]&gt;=Fluxo_de_Caixa_Janeiro310201314[[#This Row],[Coluna1]],"VERDADEIRO","FALSO")</f>
        <v>VERDADEIRO</v>
      </c>
    </row>
    <row r="250" spans="2:18" x14ac:dyDescent="0.25">
      <c r="B250" s="49" t="str">
        <f>Fluxo_de_Caixa_Janeiro[[#This Row],[Fluxo de Caixa 2026 CTR]]</f>
        <v xml:space="preserve">4.2.02 Venda de Veículos </v>
      </c>
      <c r="C250" s="35"/>
      <c r="D250" s="62"/>
      <c r="E250" s="62"/>
      <c r="F250" s="62"/>
      <c r="G250" s="62"/>
      <c r="H250" s="62"/>
      <c r="I250" s="35">
        <f>Fluxo_de_Caixa_Janeiro3459117[[#This Row],[JULHO]]</f>
        <v>0</v>
      </c>
      <c r="J250" s="62">
        <f>Fluxo_de_Caixa_Janeiro345911710[[#This Row],[AGOSTO]]</f>
        <v>0</v>
      </c>
      <c r="K250" s="62">
        <f>Fluxo_de_Caixa_Janeiro34591171012[[#This Row],[SETEMBRO]]</f>
        <v>0</v>
      </c>
      <c r="L250" s="62"/>
      <c r="M250" s="62"/>
      <c r="N250" s="119"/>
      <c r="O250" s="231">
        <f>SUM(Fluxo_de_Caixa_Janeiro310201314[[#This Row],[Janeiro]:[Dezembro]])</f>
        <v>0</v>
      </c>
      <c r="P250" s="140" t="str">
        <f t="shared" si="13"/>
        <v>0,00%</v>
      </c>
      <c r="Q250" s="24"/>
      <c r="R250" s="32" t="str">
        <f>IF(Fluxo_de_Caixa_Janeiro310201314[[#This Row],[% ACUMULADO  3º SEMEST 2026]]&gt;=Fluxo_de_Caixa_Janeiro310201314[[#This Row],[Coluna1]],"VERDADEIRO","FALSO")</f>
        <v>VERDADEIRO</v>
      </c>
    </row>
    <row r="251" spans="2:18" x14ac:dyDescent="0.25">
      <c r="B251" s="49" t="str">
        <f>Fluxo_de_Caixa_Janeiro[[#This Row],[Fluxo de Caixa 2026 CTR]]</f>
        <v xml:space="preserve">4.2.03 Resgate de Titulo de Capitalização </v>
      </c>
      <c r="C251" s="35"/>
      <c r="D251" s="62"/>
      <c r="E251" s="62"/>
      <c r="F251" s="62"/>
      <c r="G251" s="62"/>
      <c r="H251" s="62"/>
      <c r="I251" s="35">
        <f>Fluxo_de_Caixa_Janeiro3459117[[#This Row],[JULHO]]</f>
        <v>0</v>
      </c>
      <c r="J251" s="62">
        <f>Fluxo_de_Caixa_Janeiro345911710[[#This Row],[AGOSTO]]</f>
        <v>0</v>
      </c>
      <c r="K251" s="62">
        <f>Fluxo_de_Caixa_Janeiro34591171012[[#This Row],[SETEMBRO]]</f>
        <v>0</v>
      </c>
      <c r="L251" s="62"/>
      <c r="M251" s="62"/>
      <c r="N251" s="119"/>
      <c r="O251" s="231">
        <f>SUM(Fluxo_de_Caixa_Janeiro310201314[[#This Row],[Janeiro]:[Dezembro]])</f>
        <v>0</v>
      </c>
      <c r="P251" s="140" t="str">
        <f t="shared" si="13"/>
        <v>0,00%</v>
      </c>
      <c r="Q251" s="24"/>
      <c r="R251" s="32" t="str">
        <f>IF(Fluxo_de_Caixa_Janeiro310201314[[#This Row],[% ACUMULADO  3º SEMEST 2026]]&gt;=Fluxo_de_Caixa_Janeiro310201314[[#This Row],[Coluna1]],"VERDADEIRO","FALSO")</f>
        <v>VERDADEIRO</v>
      </c>
    </row>
    <row r="252" spans="2:18" x14ac:dyDescent="0.25">
      <c r="B252" s="49" t="str">
        <f>Fluxo_de_Caixa_Janeiro[[#This Row],[Fluxo de Caixa 2026 CTR]]</f>
        <v xml:space="preserve">4.2.04 Resgate de Consórcio </v>
      </c>
      <c r="C252" s="35"/>
      <c r="D252" s="62"/>
      <c r="E252" s="62"/>
      <c r="F252" s="62"/>
      <c r="G252" s="62"/>
      <c r="H252" s="62"/>
      <c r="I252" s="35">
        <f>Fluxo_de_Caixa_Janeiro3459117[[#This Row],[JULHO]]</f>
        <v>0</v>
      </c>
      <c r="J252" s="62">
        <f>Fluxo_de_Caixa_Janeiro345911710[[#This Row],[AGOSTO]]</f>
        <v>0</v>
      </c>
      <c r="K252" s="62">
        <f>Fluxo_de_Caixa_Janeiro34591171012[[#This Row],[SETEMBRO]]</f>
        <v>0</v>
      </c>
      <c r="L252" s="62"/>
      <c r="M252" s="62"/>
      <c r="N252" s="119"/>
      <c r="O252" s="231">
        <f>SUM(Fluxo_de_Caixa_Janeiro310201314[[#This Row],[Janeiro]:[Dezembro]])</f>
        <v>0</v>
      </c>
      <c r="P252" s="140" t="str">
        <f t="shared" si="13"/>
        <v>0,00%</v>
      </c>
      <c r="Q252" s="24"/>
      <c r="R252" s="32" t="str">
        <f>IF(Fluxo_de_Caixa_Janeiro310201314[[#This Row],[% ACUMULADO  3º SEMEST 2026]]&gt;=Fluxo_de_Caixa_Janeiro310201314[[#This Row],[Coluna1]],"VERDADEIRO","FALSO")</f>
        <v>VERDADEIRO</v>
      </c>
    </row>
    <row r="253" spans="2:18" x14ac:dyDescent="0.25">
      <c r="B253" s="49" t="str">
        <f>Fluxo_de_Caixa_Janeiro[[#This Row],[Fluxo de Caixa 2026 CTR]]</f>
        <v>4.2.05 Venda de Ativo Imobilizado</v>
      </c>
      <c r="C253" s="35"/>
      <c r="D253" s="62"/>
      <c r="E253" s="62"/>
      <c r="F253" s="62"/>
      <c r="G253" s="62"/>
      <c r="H253" s="62"/>
      <c r="I253" s="35">
        <f>Fluxo_de_Caixa_Janeiro3459117[[#This Row],[JULHO]]</f>
        <v>0</v>
      </c>
      <c r="J253" s="62">
        <f>Fluxo_de_Caixa_Janeiro345911710[[#This Row],[AGOSTO]]</f>
        <v>0</v>
      </c>
      <c r="K253" s="62">
        <f>Fluxo_de_Caixa_Janeiro34591171012[[#This Row],[SETEMBRO]]</f>
        <v>0</v>
      </c>
      <c r="L253" s="62"/>
      <c r="M253" s="62"/>
      <c r="N253" s="119"/>
      <c r="O253" s="231">
        <f>SUM(Fluxo_de_Caixa_Janeiro310201314[[#This Row],[Janeiro]:[Dezembro]])</f>
        <v>0</v>
      </c>
      <c r="P253" s="140" t="str">
        <f t="shared" si="13"/>
        <v>0,00%</v>
      </c>
      <c r="Q253" s="24"/>
      <c r="R253" s="32" t="str">
        <f>IF(Fluxo_de_Caixa_Janeiro310201314[[#This Row],[% ACUMULADO  3º SEMEST 2026]]&gt;=Fluxo_de_Caixa_Janeiro310201314[[#This Row],[Coluna1]],"VERDADEIRO","FALSO")</f>
        <v>VERDADEIRO</v>
      </c>
    </row>
    <row r="254" spans="2:18" x14ac:dyDescent="0.25">
      <c r="B254" s="49" t="str">
        <f>Fluxo_de_Caixa_Janeiro[[#This Row],[Fluxo de Caixa 2026 CTR]]</f>
        <v>4.2.06 Rendimentos CDB/Fundos/Alugueis</v>
      </c>
      <c r="C254" s="35"/>
      <c r="D254" s="62"/>
      <c r="E254" s="62"/>
      <c r="F254" s="62"/>
      <c r="G254" s="62"/>
      <c r="H254" s="62"/>
      <c r="I254" s="35">
        <f>Fluxo_de_Caixa_Janeiro3459117[[#This Row],[JULHO]]</f>
        <v>0</v>
      </c>
      <c r="J254" s="62">
        <f>Fluxo_de_Caixa_Janeiro345911710[[#This Row],[AGOSTO]]</f>
        <v>0</v>
      </c>
      <c r="K254" s="62">
        <f>Fluxo_de_Caixa_Janeiro34591171012[[#This Row],[SETEMBRO]]</f>
        <v>0</v>
      </c>
      <c r="L254" s="62"/>
      <c r="M254" s="62"/>
      <c r="N254" s="119"/>
      <c r="O254" s="231">
        <f>SUM(Fluxo_de_Caixa_Janeiro310201314[[#This Row],[Janeiro]:[Dezembro]])</f>
        <v>0</v>
      </c>
      <c r="P254" s="140" t="str">
        <f t="shared" si="13"/>
        <v>0,00%</v>
      </c>
      <c r="Q254" s="24"/>
      <c r="R254" s="32" t="str">
        <f>IF(Fluxo_de_Caixa_Janeiro310201314[[#This Row],[% ACUMULADO  3º SEMEST 2026]]&gt;=Fluxo_de_Caixa_Janeiro310201314[[#This Row],[Coluna1]],"VERDADEIRO","FALSO")</f>
        <v>VERDADEIRO</v>
      </c>
    </row>
    <row r="255" spans="2:18" ht="15.75" thickBot="1" x14ac:dyDescent="0.3">
      <c r="B255" s="49" t="str">
        <f>Fluxo_de_Caixa_Janeiro[[#This Row],[Fluxo de Caixa 2026 CTR]]</f>
        <v>4.2.07 Resgate de Capital Social</v>
      </c>
      <c r="C255" s="35"/>
      <c r="D255" s="62"/>
      <c r="E255" s="62"/>
      <c r="F255" s="62"/>
      <c r="G255" s="62"/>
      <c r="H255" s="62"/>
      <c r="I255" s="35">
        <f>Fluxo_de_Caixa_Janeiro3459117[[#This Row],[JULHO]]</f>
        <v>0</v>
      </c>
      <c r="J255" s="62">
        <f>Fluxo_de_Caixa_Janeiro345911710[[#This Row],[AGOSTO]]</f>
        <v>0</v>
      </c>
      <c r="K255" s="62">
        <f>Fluxo_de_Caixa_Janeiro34591171012[[#This Row],[SETEMBRO]]</f>
        <v>0</v>
      </c>
      <c r="L255" s="62"/>
      <c r="M255" s="62"/>
      <c r="N255" s="119"/>
      <c r="O255" s="231">
        <f>SUM(Fluxo_de_Caixa_Janeiro310201314[[#This Row],[Janeiro]:[Dezembro]])</f>
        <v>0</v>
      </c>
      <c r="P255" s="140" t="str">
        <f t="shared" si="13"/>
        <v>0,00%</v>
      </c>
      <c r="Q255" s="24"/>
      <c r="R255" s="32" t="str">
        <f>IF(Fluxo_de_Caixa_Janeiro310201314[[#This Row],[% ACUMULADO  3º SEMEST 2026]]&gt;=Fluxo_de_Caixa_Janeiro310201314[[#This Row],[Coluna1]],"VERDADEIRO","FALSO")</f>
        <v>VERDADEIRO</v>
      </c>
    </row>
    <row r="256" spans="2:18" ht="15.75" hidden="1" thickBot="1" x14ac:dyDescent="0.3">
      <c r="B256" s="49" t="str">
        <f>Fluxo_de_Caixa_Janeiro[[#This Row],[Fluxo de Caixa 2026 CTR]]</f>
        <v xml:space="preserve">4.2.08.INVESTIMENTO EMPRESAS DO MESMO </v>
      </c>
      <c r="C256" s="35"/>
      <c r="D256" s="62"/>
      <c r="E256" s="62"/>
      <c r="F256" s="62"/>
      <c r="G256" s="62"/>
      <c r="H256" s="62"/>
      <c r="I256" s="35">
        <f>Fluxo_de_Caixa_Janeiro3459117[[#This Row],[JULHO]]</f>
        <v>0</v>
      </c>
      <c r="J256" s="62">
        <f>Fluxo_de_Caixa_Janeiro345911710[[#This Row],[AGOSTO]]</f>
        <v>0</v>
      </c>
      <c r="K256" s="62">
        <f>Fluxo_de_Caixa_Janeiro34591171012[[#This Row],[SETEMBRO]]</f>
        <v>0</v>
      </c>
      <c r="L256" s="62"/>
      <c r="M256" s="62"/>
      <c r="N256" s="119"/>
      <c r="O256" s="231">
        <f>SUM(Fluxo_de_Caixa_Janeiro310201314[[#This Row],[Janeiro]:[Dezembro]])</f>
        <v>0</v>
      </c>
      <c r="P256" s="140" t="str">
        <f t="shared" si="13"/>
        <v>0,00%</v>
      </c>
      <c r="Q256" s="24"/>
      <c r="R256" s="32" t="str">
        <f>IF(Fluxo_de_Caixa_Janeiro310201314[[#This Row],[% ACUMULADO  3º SEMEST 2026]]&gt;=Fluxo_de_Caixa_Janeiro310201314[[#This Row],[Coluna1]],"VERDADEIRO","FALSO")</f>
        <v>VERDADEIRO</v>
      </c>
    </row>
    <row r="257" spans="2:18" ht="15.75" hidden="1" thickBot="1" x14ac:dyDescent="0.3">
      <c r="B257" s="49" t="str">
        <f>Fluxo_de_Caixa_Janeiro[[#This Row],[Fluxo de Caixa 2026 CTR]]</f>
        <v>4.2.09.APORTE DE CAPITAL SOCIAL</v>
      </c>
      <c r="C257" s="35"/>
      <c r="D257" s="62"/>
      <c r="E257" s="62"/>
      <c r="F257" s="62"/>
      <c r="G257" s="62"/>
      <c r="H257" s="62"/>
      <c r="I257" s="35">
        <f>Fluxo_de_Caixa_Janeiro3459117[[#This Row],[JULHO]]</f>
        <v>0</v>
      </c>
      <c r="J257" s="62">
        <f>Fluxo_de_Caixa_Janeiro345911710[[#This Row],[AGOSTO]]</f>
        <v>0</v>
      </c>
      <c r="K257" s="62">
        <f>Fluxo_de_Caixa_Janeiro34591171012[[#This Row],[SETEMBRO]]</f>
        <v>0</v>
      </c>
      <c r="L257" s="62"/>
      <c r="M257" s="62"/>
      <c r="N257" s="119"/>
      <c r="O257" s="231">
        <f>SUM(Fluxo_de_Caixa_Janeiro310201314[[#This Row],[Janeiro]:[Dezembro]])</f>
        <v>0</v>
      </c>
      <c r="P257" s="140" t="str">
        <f t="shared" si="13"/>
        <v>0,00%</v>
      </c>
      <c r="Q257" s="24"/>
      <c r="R257" s="32" t="str">
        <f>IF(Fluxo_de_Caixa_Janeiro310201314[[#This Row],[% ACUMULADO  3º SEMEST 2026]]&gt;=Fluxo_de_Caixa_Janeiro310201314[[#This Row],[Coluna1]],"VERDADEIRO","FALSO")</f>
        <v>VERDADEIRO</v>
      </c>
    </row>
    <row r="258" spans="2:18" ht="15.75" hidden="1" thickBot="1" x14ac:dyDescent="0.3">
      <c r="B258" s="49">
        <f>Fluxo_de_Caixa_Janeiro[[#This Row],[Fluxo de Caixa 2026 CTR]]</f>
        <v>0</v>
      </c>
      <c r="C258" s="35"/>
      <c r="D258" s="62"/>
      <c r="E258" s="62"/>
      <c r="F258" s="62"/>
      <c r="G258" s="62"/>
      <c r="H258" s="62"/>
      <c r="I258" s="35">
        <f>Fluxo_de_Caixa_Janeiro3459117[[#This Row],[JULHO]]</f>
        <v>0</v>
      </c>
      <c r="J258" s="62">
        <f>Fluxo_de_Caixa_Janeiro345911710[[#This Row],[AGOSTO]]</f>
        <v>0</v>
      </c>
      <c r="K258" s="62">
        <f>Fluxo_de_Caixa_Janeiro34591171012[[#This Row],[SETEMBRO]]</f>
        <v>0</v>
      </c>
      <c r="L258" s="62"/>
      <c r="M258" s="62"/>
      <c r="N258" s="119"/>
      <c r="O258" s="231">
        <f>SUM(Fluxo_de_Caixa_Janeiro310201314[[#This Row],[Janeiro]:[Dezembro]])</f>
        <v>0</v>
      </c>
      <c r="P258" s="140" t="str">
        <f t="shared" si="13"/>
        <v>0,00%</v>
      </c>
      <c r="Q258" s="24"/>
      <c r="R258" s="32" t="str">
        <f>IF(Fluxo_de_Caixa_Janeiro310201314[[#This Row],[% ACUMULADO  3º SEMEST 2026]]&gt;=Fluxo_de_Caixa_Janeiro310201314[[#This Row],[Coluna1]],"VERDADEIRO","FALSO")</f>
        <v>VERDADEIRO</v>
      </c>
    </row>
    <row r="259" spans="2:18" ht="15.75" hidden="1" thickBot="1" x14ac:dyDescent="0.3">
      <c r="B259" s="49">
        <f>Fluxo_de_Caixa_Janeiro[[#This Row],[Fluxo de Caixa 2026 CTR]]</f>
        <v>0</v>
      </c>
      <c r="C259" s="35"/>
      <c r="D259" s="62"/>
      <c r="E259" s="62"/>
      <c r="F259" s="62"/>
      <c r="G259" s="62"/>
      <c r="H259" s="62"/>
      <c r="I259" s="35">
        <f>Fluxo_de_Caixa_Janeiro3459117[[#This Row],[JULHO]]</f>
        <v>0</v>
      </c>
      <c r="J259" s="62">
        <f>Fluxo_de_Caixa_Janeiro345911710[[#This Row],[AGOSTO]]</f>
        <v>0</v>
      </c>
      <c r="K259" s="62">
        <f>Fluxo_de_Caixa_Janeiro34591171012[[#This Row],[SETEMBRO]]</f>
        <v>0</v>
      </c>
      <c r="L259" s="62"/>
      <c r="M259" s="62"/>
      <c r="N259" s="119"/>
      <c r="O259" s="231">
        <f>SUM(Fluxo_de_Caixa_Janeiro310201314[[#This Row],[Janeiro]:[Dezembro]])</f>
        <v>0</v>
      </c>
      <c r="P259" s="140" t="str">
        <f t="shared" si="13"/>
        <v>0,00%</v>
      </c>
      <c r="Q259" s="24"/>
      <c r="R259" s="32" t="str">
        <f>IF(Fluxo_de_Caixa_Janeiro310201314[[#This Row],[% ACUMULADO  3º SEMEST 2026]]&gt;=Fluxo_de_Caixa_Janeiro310201314[[#This Row],[Coluna1]],"VERDADEIRO","FALSO")</f>
        <v>VERDADEIRO</v>
      </c>
    </row>
    <row r="260" spans="2:18" ht="15.75" hidden="1" thickBot="1" x14ac:dyDescent="0.3">
      <c r="B260" s="56">
        <f>Fluxo_de_Caixa_Janeiro[[#This Row],[Fluxo de Caixa 2026 CTR]]</f>
        <v>0</v>
      </c>
      <c r="C260" s="36"/>
      <c r="D260" s="82"/>
      <c r="E260" s="82"/>
      <c r="F260" s="82"/>
      <c r="G260" s="82"/>
      <c r="H260" s="82"/>
      <c r="I260" s="36">
        <f>Fluxo_de_Caixa_Janeiro3459117[[#This Row],[JULHO]]</f>
        <v>0</v>
      </c>
      <c r="J260" s="82">
        <f>Fluxo_de_Caixa_Janeiro345911710[[#This Row],[AGOSTO]]</f>
        <v>0</v>
      </c>
      <c r="K260" s="82">
        <f>Fluxo_de_Caixa_Janeiro34591171012[[#This Row],[SETEMBRO]]</f>
        <v>0</v>
      </c>
      <c r="L260" s="82"/>
      <c r="M260" s="82"/>
      <c r="N260" s="120"/>
      <c r="O260" s="232">
        <f>SUM(Fluxo_de_Caixa_Janeiro310201314[[#This Row],[Janeiro]:[Dezembro]])</f>
        <v>0</v>
      </c>
      <c r="P260" s="141" t="str">
        <f t="shared" si="13"/>
        <v>0,00%</v>
      </c>
      <c r="Q260" s="59"/>
      <c r="R260" s="32" t="str">
        <f>IF(Fluxo_de_Caixa_Janeiro310201314[[#This Row],[% ACUMULADO  3º SEMEST 2026]]&gt;=Fluxo_de_Caixa_Janeiro310201314[[#This Row],[Coluna1]],"VERDADEIRO","FALSO")</f>
        <v>VERDADEIRO</v>
      </c>
    </row>
    <row r="261" spans="2:18" s="1" customFormat="1" ht="24" thickBot="1" x14ac:dyDescent="0.4">
      <c r="B261" s="48" t="str">
        <f>Fluxo_de_Caixa_Janeiro[[#This Row],[Fluxo de Caixa 2026 CTR]]</f>
        <v>4.3. Receitas Financeiras</v>
      </c>
      <c r="C261" s="38"/>
      <c r="D261" s="87"/>
      <c r="E261" s="87"/>
      <c r="F261" s="87"/>
      <c r="G261" s="87"/>
      <c r="H261" s="87"/>
      <c r="I261" s="38">
        <f>Fluxo_de_Caixa_Janeiro3459117[[#This Row],[JULHO]]</f>
        <v>0</v>
      </c>
      <c r="J261" s="87">
        <f>Fluxo_de_Caixa_Janeiro345911710[[#This Row],[AGOSTO]]</f>
        <v>0</v>
      </c>
      <c r="K261" s="87">
        <f>Fluxo_de_Caixa_Janeiro34591171012[[#This Row],[SETEMBRO]]</f>
        <v>0</v>
      </c>
      <c r="L261" s="87"/>
      <c r="M261" s="87"/>
      <c r="N261" s="125"/>
      <c r="O261" s="216">
        <f>SUM(Fluxo_de_Caixa_Janeiro310201314[[#This Row],[Janeiro]:[Dezembro]])</f>
        <v>0</v>
      </c>
      <c r="P261" s="247" t="str">
        <f t="shared" si="13"/>
        <v>0,00%</v>
      </c>
      <c r="Q261" s="19"/>
      <c r="R261" s="32" t="str">
        <f>IF(Fluxo_de_Caixa_Janeiro310201314[[#This Row],[% ACUMULADO  3º SEMEST 2026]]&gt;=Fluxo_de_Caixa_Janeiro310201314[[#This Row],[Coluna1]],"VERDADEIRO","FALSO")</f>
        <v>VERDADEIRO</v>
      </c>
    </row>
    <row r="262" spans="2:18" x14ac:dyDescent="0.25">
      <c r="B262" s="49" t="str">
        <f>Fluxo_de_Caixa_Janeiro[[#This Row],[Fluxo de Caixa 2026 CTR]]</f>
        <v>4.3.01. JUROS E MULTAS RECEBIDOS</v>
      </c>
      <c r="C262" s="41"/>
      <c r="D262" s="81"/>
      <c r="E262" s="81"/>
      <c r="F262" s="81"/>
      <c r="G262" s="81"/>
      <c r="H262" s="81"/>
      <c r="I262" s="41">
        <f>Fluxo_de_Caixa_Janeiro3459117[[#This Row],[JULHO]]</f>
        <v>0</v>
      </c>
      <c r="J262" s="81">
        <f>Fluxo_de_Caixa_Janeiro345911710[[#This Row],[AGOSTO]]</f>
        <v>0</v>
      </c>
      <c r="K262" s="81">
        <f>Fluxo_de_Caixa_Janeiro34591171012[[#This Row],[SETEMBRO]]</f>
        <v>0</v>
      </c>
      <c r="L262" s="81"/>
      <c r="M262" s="81"/>
      <c r="N262" s="118"/>
      <c r="O262" s="230">
        <f>SUM(Fluxo_de_Caixa_Janeiro310201314[[#This Row],[Janeiro]:[Dezembro]])</f>
        <v>0</v>
      </c>
      <c r="P262" s="29" t="str">
        <f t="shared" si="13"/>
        <v>0,00%</v>
      </c>
      <c r="Q262" s="20"/>
      <c r="R262" s="32" t="str">
        <f>IF(Fluxo_de_Caixa_Janeiro310201314[[#This Row],[% ACUMULADO  3º SEMEST 2026]]&gt;=Fluxo_de_Caixa_Janeiro310201314[[#This Row],[Coluna1]],"VERDADEIRO","FALSO")</f>
        <v>VERDADEIRO</v>
      </c>
    </row>
    <row r="263" spans="2:18" x14ac:dyDescent="0.25">
      <c r="B263" s="50" t="str">
        <f>Fluxo_de_Caixa_Janeiro[[#This Row],[Fluxo de Caixa 2026 CTR]]</f>
        <v>4.3.02. SOBRA ACERTO CAIXA</v>
      </c>
      <c r="C263" s="35"/>
      <c r="D263" s="62"/>
      <c r="E263" s="62"/>
      <c r="F263" s="62"/>
      <c r="G263" s="62"/>
      <c r="H263" s="62"/>
      <c r="I263" s="35">
        <f>Fluxo_de_Caixa_Janeiro3459117[[#This Row],[JULHO]]</f>
        <v>0</v>
      </c>
      <c r="J263" s="62">
        <f>Fluxo_de_Caixa_Janeiro345911710[[#This Row],[AGOSTO]]</f>
        <v>0</v>
      </c>
      <c r="K263" s="62">
        <f>Fluxo_de_Caixa_Janeiro34591171012[[#This Row],[SETEMBRO]]</f>
        <v>0</v>
      </c>
      <c r="L263" s="62"/>
      <c r="M263" s="62"/>
      <c r="N263" s="119"/>
      <c r="O263" s="231">
        <f>SUM(Fluxo_de_Caixa_Janeiro310201314[[#This Row],[Janeiro]:[Dezembro]])</f>
        <v>0</v>
      </c>
      <c r="P263" s="140" t="str">
        <f t="shared" si="13"/>
        <v>0,00%</v>
      </c>
      <c r="Q263" s="24"/>
      <c r="R263" s="32" t="str">
        <f>IF(Fluxo_de_Caixa_Janeiro310201314[[#This Row],[% ACUMULADO  3º SEMEST 2026]]&gt;=Fluxo_de_Caixa_Janeiro310201314[[#This Row],[Coluna1]],"VERDADEIRO","FALSO")</f>
        <v>VERDADEIRO</v>
      </c>
    </row>
    <row r="264" spans="2:18" x14ac:dyDescent="0.25">
      <c r="B264" s="50" t="str">
        <f>Fluxo_de_Caixa_Janeiro[[#This Row],[Fluxo de Caixa 2026 CTR]]</f>
        <v>4.3.03. DESCONTOS OBTIDOS</v>
      </c>
      <c r="C264" s="35"/>
      <c r="D264" s="62"/>
      <c r="E264" s="62"/>
      <c r="F264" s="62"/>
      <c r="G264" s="62"/>
      <c r="H264" s="62"/>
      <c r="I264" s="35">
        <f>Fluxo_de_Caixa_Janeiro3459117[[#This Row],[JULHO]]</f>
        <v>0</v>
      </c>
      <c r="J264" s="62">
        <f>Fluxo_de_Caixa_Janeiro345911710[[#This Row],[AGOSTO]]</f>
        <v>0</v>
      </c>
      <c r="K264" s="62">
        <f>Fluxo_de_Caixa_Janeiro34591171012[[#This Row],[SETEMBRO]]</f>
        <v>0</v>
      </c>
      <c r="L264" s="62"/>
      <c r="M264" s="62"/>
      <c r="N264" s="119"/>
      <c r="O264" s="231">
        <f>SUM(Fluxo_de_Caixa_Janeiro310201314[[#This Row],[Janeiro]:[Dezembro]])</f>
        <v>0</v>
      </c>
      <c r="P264" s="140" t="str">
        <f t="shared" si="13"/>
        <v>0,00%</v>
      </c>
      <c r="Q264" s="24"/>
      <c r="R264" s="32" t="str">
        <f>IF(Fluxo_de_Caixa_Janeiro310201314[[#This Row],[% ACUMULADO  3º SEMEST 2026]]&gt;=Fluxo_de_Caixa_Janeiro310201314[[#This Row],[Coluna1]],"VERDADEIRO","FALSO")</f>
        <v>VERDADEIRO</v>
      </c>
    </row>
    <row r="265" spans="2:18" x14ac:dyDescent="0.25">
      <c r="B265" s="50" t="str">
        <f>Fluxo_de_Caixa_Janeiro[[#This Row],[Fluxo de Caixa 2026 CTR]]</f>
        <v>4.3.04. OUTRAS RECEITAS FINANCEIRAS</v>
      </c>
      <c r="C265" s="35"/>
      <c r="D265" s="62"/>
      <c r="E265" s="62"/>
      <c r="F265" s="62"/>
      <c r="G265" s="62"/>
      <c r="H265" s="62"/>
      <c r="I265" s="35">
        <f>Fluxo_de_Caixa_Janeiro3459117[[#This Row],[JULHO]]</f>
        <v>0</v>
      </c>
      <c r="J265" s="62">
        <f>Fluxo_de_Caixa_Janeiro345911710[[#This Row],[AGOSTO]]</f>
        <v>0</v>
      </c>
      <c r="K265" s="62">
        <f>Fluxo_de_Caixa_Janeiro34591171012[[#This Row],[SETEMBRO]]</f>
        <v>0</v>
      </c>
      <c r="L265" s="62"/>
      <c r="M265" s="62"/>
      <c r="N265" s="119"/>
      <c r="O265" s="231">
        <f>SUM(Fluxo_de_Caixa_Janeiro310201314[[#This Row],[Janeiro]:[Dezembro]])</f>
        <v>0</v>
      </c>
      <c r="P265" s="140" t="str">
        <f t="shared" si="13"/>
        <v>0,00%</v>
      </c>
      <c r="Q265" s="24"/>
      <c r="R265" s="32" t="str">
        <f>IF(Fluxo_de_Caixa_Janeiro310201314[[#This Row],[% ACUMULADO  3º SEMEST 2026]]&gt;=Fluxo_de_Caixa_Janeiro310201314[[#This Row],[Coluna1]],"VERDADEIRO","FALSO")</f>
        <v>VERDADEIRO</v>
      </c>
    </row>
    <row r="266" spans="2:18" hidden="1" x14ac:dyDescent="0.25">
      <c r="B266" s="393" t="str">
        <f>Fluxo_de_Caixa_Janeiro[[#This Row],[Fluxo de Caixa 2026 CTR]]</f>
        <v>4.3.05. RECEITA DE BRINDE E EXPOSITORES</v>
      </c>
      <c r="C266" s="357"/>
      <c r="D266" s="306"/>
      <c r="E266" s="306"/>
      <c r="F266" s="306"/>
      <c r="G266" s="306"/>
      <c r="H266" s="306"/>
      <c r="I266" s="357">
        <f>Fluxo_de_Caixa_Janeiro3459117[[#This Row],[JULHO]]</f>
        <v>0</v>
      </c>
      <c r="J266" s="306">
        <f>Fluxo_de_Caixa_Janeiro345911710[[#This Row],[AGOSTO]]</f>
        <v>0</v>
      </c>
      <c r="K266" s="306">
        <f>Fluxo_de_Caixa_Janeiro34591171012[[#This Row],[SETEMBRO]]</f>
        <v>0</v>
      </c>
      <c r="L266" s="306"/>
      <c r="M266" s="306"/>
      <c r="N266" s="360"/>
      <c r="O266" s="231">
        <f>SUM(Fluxo_de_Caixa_Janeiro310201314[[#This Row],[Janeiro]:[Dezembro]])</f>
        <v>0</v>
      </c>
      <c r="P266" s="140" t="str">
        <f t="shared" si="13"/>
        <v>0,00%</v>
      </c>
      <c r="Q266" s="24"/>
      <c r="R266" s="32"/>
    </row>
    <row r="267" spans="2:18" hidden="1" x14ac:dyDescent="0.25">
      <c r="B267" s="364">
        <f>Fluxo_de_Caixa_Janeiro[[#This Row],[Fluxo de Caixa 2026 CTR]]</f>
        <v>0</v>
      </c>
      <c r="C267" s="357"/>
      <c r="D267" s="306"/>
      <c r="E267" s="306"/>
      <c r="F267" s="306"/>
      <c r="G267" s="306"/>
      <c r="H267" s="306"/>
      <c r="I267" s="357">
        <f>Fluxo_de_Caixa_Janeiro3459117[[#This Row],[JULHO]]</f>
        <v>0</v>
      </c>
      <c r="J267" s="306">
        <f>Fluxo_de_Caixa_Janeiro345911710[[#This Row],[AGOSTO]]</f>
        <v>0</v>
      </c>
      <c r="K267" s="306">
        <f>Fluxo_de_Caixa_Janeiro34591171012[[#This Row],[SETEMBRO]]</f>
        <v>0</v>
      </c>
      <c r="L267" s="306"/>
      <c r="M267" s="306"/>
      <c r="N267" s="360"/>
      <c r="O267" s="231">
        <f>SUM(Fluxo_de_Caixa_Janeiro310201314[[#This Row],[Janeiro]:[Dezembro]])</f>
        <v>0</v>
      </c>
      <c r="P267" s="140" t="str">
        <f t="shared" si="13"/>
        <v>0,00%</v>
      </c>
      <c r="Q267" s="24"/>
      <c r="R267" s="32"/>
    </row>
    <row r="268" spans="2:18" x14ac:dyDescent="0.25">
      <c r="B268" s="364" t="str">
        <f>Fluxo_de_Caixa_Janeiro[[#This Row],[Fluxo de Caixa 2026 CTR]]</f>
        <v>4.3.07. RECEITA NÃO IDENTIFICADA</v>
      </c>
      <c r="C268" s="357"/>
      <c r="D268" s="306"/>
      <c r="E268" s="306"/>
      <c r="F268" s="306"/>
      <c r="G268" s="306"/>
      <c r="H268" s="306"/>
      <c r="I268" s="357">
        <f>Fluxo_de_Caixa_Janeiro3459117[[#This Row],[JULHO]]</f>
        <v>0</v>
      </c>
      <c r="J268" s="306">
        <f>Fluxo_de_Caixa_Janeiro345911710[[#This Row],[AGOSTO]]</f>
        <v>0</v>
      </c>
      <c r="K268" s="306">
        <f>Fluxo_de_Caixa_Janeiro34591171012[[#This Row],[SETEMBRO]]</f>
        <v>0</v>
      </c>
      <c r="L268" s="306"/>
      <c r="M268" s="306"/>
      <c r="N268" s="360"/>
      <c r="O268" s="231">
        <f>SUM(Fluxo_de_Caixa_Janeiro310201314[[#This Row],[Janeiro]:[Dezembro]])</f>
        <v>0</v>
      </c>
      <c r="P268" s="140" t="str">
        <f t="shared" si="13"/>
        <v>0,00%</v>
      </c>
      <c r="Q268" s="24"/>
      <c r="R268" s="32"/>
    </row>
    <row r="269" spans="2:18" x14ac:dyDescent="0.25">
      <c r="B269" s="364" t="str">
        <f>Fluxo_de_Caixa_Janeiro[[#This Row],[Fluxo de Caixa 2026 CTR]]</f>
        <v>4.3.08. DESPESAS NÃO IDENTIFICADAS ( - )</v>
      </c>
      <c r="C269" s="357"/>
      <c r="D269" s="306"/>
      <c r="E269" s="306"/>
      <c r="F269" s="306"/>
      <c r="G269" s="306"/>
      <c r="H269" s="306"/>
      <c r="I269" s="357">
        <f>Fluxo_de_Caixa_Janeiro3459117[[#This Row],[JULHO]]</f>
        <v>0</v>
      </c>
      <c r="J269" s="306">
        <f>Fluxo_de_Caixa_Janeiro345911710[[#This Row],[AGOSTO]]</f>
        <v>0</v>
      </c>
      <c r="K269" s="306">
        <f>Fluxo_de_Caixa_Janeiro34591171012[[#This Row],[SETEMBRO]]</f>
        <v>0</v>
      </c>
      <c r="L269" s="306"/>
      <c r="M269" s="306"/>
      <c r="N269" s="360"/>
      <c r="O269" s="231">
        <f>SUM(Fluxo_de_Caixa_Janeiro310201314[[#This Row],[Janeiro]:[Dezembro]])</f>
        <v>0</v>
      </c>
      <c r="P269" s="140" t="str">
        <f t="shared" si="13"/>
        <v>0,00%</v>
      </c>
      <c r="Q269" s="24"/>
      <c r="R269" s="32"/>
    </row>
    <row r="270" spans="2:18" ht="15.75" thickBot="1" x14ac:dyDescent="0.3">
      <c r="B270" s="393" t="str">
        <f>Fluxo_de_Caixa_Janeiro[[#This Row],[Fluxo de Caixa 2026 CTR]]</f>
        <v>4.3.09. PATROCÍNIO  EM DINHEIRO</v>
      </c>
      <c r="C270" s="358"/>
      <c r="D270" s="359"/>
      <c r="E270" s="359"/>
      <c r="F270" s="359"/>
      <c r="G270" s="359"/>
      <c r="H270" s="359"/>
      <c r="I270" s="358">
        <f>Fluxo_de_Caixa_Janeiro3459117[[#This Row],[JULHO]]</f>
        <v>0</v>
      </c>
      <c r="J270" s="359">
        <f>Fluxo_de_Caixa_Janeiro345911710[[#This Row],[AGOSTO]]</f>
        <v>0</v>
      </c>
      <c r="K270" s="359">
        <f>Fluxo_de_Caixa_Janeiro34591171012[[#This Row],[SETEMBRO]]</f>
        <v>0</v>
      </c>
      <c r="L270" s="359"/>
      <c r="M270" s="359"/>
      <c r="N270" s="361"/>
      <c r="O270" s="231">
        <f>SUM(Fluxo_de_Caixa_Janeiro310201314[[#This Row],[Janeiro]:[Dezembro]])</f>
        <v>0</v>
      </c>
      <c r="P270" s="140" t="str">
        <f t="shared" si="13"/>
        <v>0,00%</v>
      </c>
      <c r="Q270" s="24"/>
      <c r="R270" s="32"/>
    </row>
    <row r="271" spans="2:18" ht="15.75" hidden="1" thickBot="1" x14ac:dyDescent="0.3">
      <c r="B271" s="393" t="str">
        <f>Fluxo_de_Caixa_Janeiro[[#This Row],[Fluxo de Caixa 2026 CTR]]</f>
        <v>4.3.10. BONIFICAÇÃO EM PRODUTOS</v>
      </c>
      <c r="C271" s="358"/>
      <c r="D271" s="359"/>
      <c r="E271" s="359"/>
      <c r="F271" s="359"/>
      <c r="G271" s="359"/>
      <c r="H271" s="359"/>
      <c r="I271" s="358">
        <f>Fluxo_de_Caixa_Janeiro3459117[[#This Row],[JULHO]]</f>
        <v>0</v>
      </c>
      <c r="J271" s="359">
        <f>Fluxo_de_Caixa_Janeiro345911710[[#This Row],[AGOSTO]]</f>
        <v>0</v>
      </c>
      <c r="K271" s="359">
        <f>Fluxo_de_Caixa_Janeiro34591171012[[#This Row],[SETEMBRO]]</f>
        <v>0</v>
      </c>
      <c r="L271" s="359"/>
      <c r="M271" s="359"/>
      <c r="N271" s="361"/>
      <c r="O271" s="231">
        <f>SUM(Fluxo_de_Caixa_Janeiro310201314[[#This Row],[Janeiro]:[Dezembro]])</f>
        <v>0</v>
      </c>
      <c r="P271" s="140" t="str">
        <f t="shared" si="13"/>
        <v>0,00%</v>
      </c>
      <c r="Q271" s="24"/>
      <c r="R271" s="32"/>
    </row>
    <row r="272" spans="2:18" ht="25.15" customHeight="1" thickBot="1" x14ac:dyDescent="0.45">
      <c r="B272" s="269" t="str">
        <f>Fluxo_de_Caixa_Janeiro[[#This Row],[Fluxo de Caixa 2026 CTR]]</f>
        <v>Despesas Não Operacional</v>
      </c>
      <c r="C272" s="191"/>
      <c r="D272" s="250"/>
      <c r="E272" s="250"/>
      <c r="F272" s="250"/>
      <c r="G272" s="250"/>
      <c r="H272" s="250"/>
      <c r="I272" s="191">
        <f>Fluxo_de_Caixa_Janeiro3459117[[#This Row],[JULHO]]</f>
        <v>0</v>
      </c>
      <c r="J272" s="250">
        <f>Fluxo_de_Caixa_Janeiro345911710[[#This Row],[AGOSTO]]</f>
        <v>0</v>
      </c>
      <c r="K272" s="250">
        <f>Fluxo_de_Caixa_Janeiro34591171012[[#This Row],[SETEMBRO]]</f>
        <v>0</v>
      </c>
      <c r="L272" s="250"/>
      <c r="M272" s="250"/>
      <c r="N272" s="288"/>
      <c r="O272" s="233"/>
      <c r="P272" s="146"/>
      <c r="Q272" s="60"/>
      <c r="R272" s="32" t="str">
        <f>IF(Fluxo_de_Caixa_Janeiro310201314[[#This Row],[% ACUMULADO  3º SEMEST 2026]]&gt;=Fluxo_de_Caixa_Janeiro310201314[[#This Row],[Coluna1]],"VERDADEIRO","FALSO")</f>
        <v>VERDADEIRO</v>
      </c>
    </row>
    <row r="273" spans="2:18" ht="24" customHeight="1" thickBot="1" x14ac:dyDescent="0.4">
      <c r="B273" s="278" t="str">
        <f>Fluxo_de_Caixa_Janeiro[[#This Row],[Fluxo de Caixa 2026 CTR]]</f>
        <v>5.1. EMPRESTIMO / FINANCIAMENTO</v>
      </c>
      <c r="C273" s="157"/>
      <c r="D273" s="94"/>
      <c r="E273" s="94"/>
      <c r="F273" s="94"/>
      <c r="G273" s="94"/>
      <c r="H273" s="94"/>
      <c r="I273" s="157">
        <f>Fluxo_de_Caixa_Janeiro3459117[[#This Row],[JULHO]]</f>
        <v>0</v>
      </c>
      <c r="J273" s="94">
        <f>Fluxo_de_Caixa_Janeiro345911710[[#This Row],[AGOSTO]]</f>
        <v>0</v>
      </c>
      <c r="K273" s="94">
        <f>Fluxo_de_Caixa_Janeiro34591171012[[#This Row],[SETEMBRO]]</f>
        <v>0</v>
      </c>
      <c r="L273" s="94"/>
      <c r="M273" s="94"/>
      <c r="N273" s="128"/>
      <c r="O273" s="222">
        <f>SUM(Fluxo_de_Caixa_Janeiro310201314[[#This Row],[Janeiro]:[Dezembro]])</f>
        <v>0</v>
      </c>
      <c r="P273" s="143">
        <f t="shared" ref="P273:P325" si="14">-IFERROR(O273/$O$332,"0,00")</f>
        <v>0</v>
      </c>
      <c r="Q273" s="95"/>
      <c r="R273" s="32" t="str">
        <f>IF(Fluxo_de_Caixa_Janeiro310201314[[#This Row],[% ACUMULADO  3º SEMEST 2026]]&lt;=Fluxo_de_Caixa_Janeiro310201314[[#This Row],[Coluna1]],"VERDADEIRO","FALSO")</f>
        <v>VERDADEIRO</v>
      </c>
    </row>
    <row r="274" spans="2:18" x14ac:dyDescent="0.25">
      <c r="B274" s="279" t="str">
        <f>Fluxo_de_Caixa_Janeiro[[#This Row],[Fluxo de Caixa 2026 CTR]]</f>
        <v>5.1.01. BANCARIOS</v>
      </c>
      <c r="C274" s="162"/>
      <c r="D274" s="104"/>
      <c r="E274" s="104"/>
      <c r="F274" s="104"/>
      <c r="G274" s="104"/>
      <c r="H274" s="104"/>
      <c r="I274" s="162">
        <f>Fluxo_de_Caixa_Janeiro3459117[[#This Row],[JULHO]]</f>
        <v>0</v>
      </c>
      <c r="J274" s="104">
        <f>Fluxo_de_Caixa_Janeiro345911710[[#This Row],[AGOSTO]]</f>
        <v>0</v>
      </c>
      <c r="K274" s="104">
        <f>Fluxo_de_Caixa_Janeiro34591171012[[#This Row],[SETEMBRO]]</f>
        <v>0</v>
      </c>
      <c r="L274" s="104"/>
      <c r="M274" s="104"/>
      <c r="N274" s="133"/>
      <c r="O274" s="234">
        <f>SUM(Fluxo_de_Caixa_Janeiro310201314[[#This Row],[Janeiro]:[Dezembro]])</f>
        <v>0</v>
      </c>
      <c r="P274" s="147">
        <f t="shared" si="14"/>
        <v>0</v>
      </c>
      <c r="Q274" s="105"/>
      <c r="R274" s="32" t="str">
        <f>IF(Fluxo_de_Caixa_Janeiro310201314[[#This Row],[% ACUMULADO  3º SEMEST 2026]]&lt;=Fluxo_de_Caixa_Janeiro310201314[[#This Row],[Coluna1]],"VERDADEIRO","FALSO")</f>
        <v>VERDADEIRO</v>
      </c>
    </row>
    <row r="275" spans="2:18" x14ac:dyDescent="0.25">
      <c r="B275" s="270" t="str">
        <f>Fluxo_de_Caixa_Janeiro[[#This Row],[Fluxo de Caixa 2026 CTR]]</f>
        <v>5.1.02. FINANCIAMENTO</v>
      </c>
      <c r="C275" s="45"/>
      <c r="D275" s="80"/>
      <c r="E275" s="80"/>
      <c r="F275" s="80"/>
      <c r="G275" s="80"/>
      <c r="H275" s="80"/>
      <c r="I275" s="45">
        <f>Fluxo_de_Caixa_Janeiro3459117[[#This Row],[JULHO]]</f>
        <v>0</v>
      </c>
      <c r="J275" s="80">
        <f>Fluxo_de_Caixa_Janeiro345911710[[#This Row],[AGOSTO]]</f>
        <v>0</v>
      </c>
      <c r="K275" s="80">
        <f>Fluxo_de_Caixa_Janeiro34591171012[[#This Row],[SETEMBRO]]</f>
        <v>0</v>
      </c>
      <c r="L275" s="80"/>
      <c r="M275" s="80"/>
      <c r="N275" s="134"/>
      <c r="O275" s="235">
        <f>SUM(Fluxo_de_Caixa_Janeiro310201314[[#This Row],[Janeiro]:[Dezembro]])</f>
        <v>0</v>
      </c>
      <c r="P275" s="26">
        <f t="shared" si="14"/>
        <v>0</v>
      </c>
      <c r="Q275" s="76"/>
      <c r="R275" s="32" t="str">
        <f>IF(Fluxo_de_Caixa_Janeiro310201314[[#This Row],[% ACUMULADO  3º SEMEST 2026]]&lt;=Fluxo_de_Caixa_Janeiro310201314[[#This Row],[Coluna1]],"VERDADEIRO","FALSO")</f>
        <v>VERDADEIRO</v>
      </c>
    </row>
    <row r="276" spans="2:18" x14ac:dyDescent="0.25">
      <c r="B276" s="270" t="str">
        <f>Fluxo_de_Caixa_Janeiro[[#This Row],[Fluxo de Caixa 2026 CTR]]</f>
        <v>5.1.03. ENTRE EMPRESAS DO MESMO GRUPO</v>
      </c>
      <c r="C276" s="45"/>
      <c r="D276" s="80"/>
      <c r="E276" s="80"/>
      <c r="F276" s="80"/>
      <c r="G276" s="80"/>
      <c r="H276" s="80"/>
      <c r="I276" s="45">
        <f>Fluxo_de_Caixa_Janeiro3459117[[#This Row],[JULHO]]</f>
        <v>0</v>
      </c>
      <c r="J276" s="80">
        <f>Fluxo_de_Caixa_Janeiro345911710[[#This Row],[AGOSTO]]</f>
        <v>0</v>
      </c>
      <c r="K276" s="80">
        <f>Fluxo_de_Caixa_Janeiro34591171012[[#This Row],[SETEMBRO]]</f>
        <v>0</v>
      </c>
      <c r="L276" s="80"/>
      <c r="M276" s="80"/>
      <c r="N276" s="134"/>
      <c r="O276" s="235">
        <f>SUM(Fluxo_de_Caixa_Janeiro310201314[[#This Row],[Janeiro]:[Dezembro]])</f>
        <v>0</v>
      </c>
      <c r="P276" s="26">
        <f t="shared" si="14"/>
        <v>0</v>
      </c>
      <c r="Q276" s="76"/>
      <c r="R276" s="32" t="str">
        <f>IF(Fluxo_de_Caixa_Janeiro310201314[[#This Row],[% ACUMULADO  3º SEMEST 2026]]&lt;=Fluxo_de_Caixa_Janeiro310201314[[#This Row],[Coluna1]],"VERDADEIRO","FALSO")</f>
        <v>VERDADEIRO</v>
      </c>
    </row>
    <row r="277" spans="2:18" ht="15.75" thickBot="1" x14ac:dyDescent="0.3">
      <c r="B277" s="270" t="str">
        <f>Fluxo_de_Caixa_Janeiro[[#This Row],[Fluxo de Caixa 2026 CTR]]</f>
        <v>5.1.04. PESSOA FISICA</v>
      </c>
      <c r="C277" s="45"/>
      <c r="D277" s="80"/>
      <c r="E277" s="80"/>
      <c r="F277" s="80"/>
      <c r="G277" s="80"/>
      <c r="H277" s="80"/>
      <c r="I277" s="45">
        <f>Fluxo_de_Caixa_Janeiro3459117[[#This Row],[JULHO]]</f>
        <v>0</v>
      </c>
      <c r="J277" s="80">
        <f>Fluxo_de_Caixa_Janeiro345911710[[#This Row],[AGOSTO]]</f>
        <v>0</v>
      </c>
      <c r="K277" s="80">
        <f>Fluxo_de_Caixa_Janeiro34591171012[[#This Row],[SETEMBRO]]</f>
        <v>0</v>
      </c>
      <c r="L277" s="80"/>
      <c r="M277" s="80"/>
      <c r="N277" s="134"/>
      <c r="O277" s="235">
        <f>SUM(Fluxo_de_Caixa_Janeiro310201314[[#This Row],[Janeiro]:[Dezembro]])</f>
        <v>0</v>
      </c>
      <c r="P277" s="26">
        <f t="shared" si="14"/>
        <v>0</v>
      </c>
      <c r="Q277" s="76"/>
      <c r="R277" s="32" t="str">
        <f>IF(Fluxo_de_Caixa_Janeiro310201314[[#This Row],[% ACUMULADO  3º SEMEST 2026]]&lt;=Fluxo_de_Caixa_Janeiro310201314[[#This Row],[Coluna1]],"VERDADEIRO","FALSO")</f>
        <v>VERDADEIRO</v>
      </c>
    </row>
    <row r="278" spans="2:18" hidden="1" x14ac:dyDescent="0.25">
      <c r="B278" s="270">
        <f>Fluxo_de_Caixa_Janeiro[[#This Row],[Fluxo de Caixa 2026 CTR]]</f>
        <v>0</v>
      </c>
      <c r="C278" s="45"/>
      <c r="D278" s="80"/>
      <c r="E278" s="80"/>
      <c r="F278" s="80"/>
      <c r="G278" s="80"/>
      <c r="H278" s="80"/>
      <c r="I278" s="45">
        <f>Fluxo_de_Caixa_Janeiro3459117[[#This Row],[JULHO]]</f>
        <v>0</v>
      </c>
      <c r="J278" s="80">
        <f>Fluxo_de_Caixa_Janeiro345911710[[#This Row],[AGOSTO]]</f>
        <v>0</v>
      </c>
      <c r="K278" s="80">
        <f>Fluxo_de_Caixa_Janeiro34591171012[[#This Row],[SETEMBRO]]</f>
        <v>0</v>
      </c>
      <c r="L278" s="80"/>
      <c r="M278" s="80"/>
      <c r="N278" s="134"/>
      <c r="O278" s="235">
        <f>SUM(Fluxo_de_Caixa_Janeiro310201314[[#This Row],[Janeiro]:[Dezembro]])</f>
        <v>0</v>
      </c>
      <c r="P278" s="26">
        <f t="shared" si="14"/>
        <v>0</v>
      </c>
      <c r="Q278" s="76"/>
      <c r="R278" s="32" t="str">
        <f>IF(Fluxo_de_Caixa_Janeiro310201314[[#This Row],[% ACUMULADO  3º SEMEST 2026]]&lt;=Fluxo_de_Caixa_Janeiro310201314[[#This Row],[Coluna1]],"VERDADEIRO","FALSO")</f>
        <v>VERDADEIRO</v>
      </c>
    </row>
    <row r="279" spans="2:18" hidden="1" x14ac:dyDescent="0.25">
      <c r="B279" s="391">
        <f>Fluxo_de_Caixa_Janeiro[[#This Row],[Fluxo de Caixa 2026 CTR]]</f>
        <v>0</v>
      </c>
      <c r="C279" s="372"/>
      <c r="D279" s="374"/>
      <c r="E279" s="374"/>
      <c r="F279" s="374"/>
      <c r="G279" s="374"/>
      <c r="H279" s="374"/>
      <c r="I279" s="372">
        <f>Fluxo_de_Caixa_Janeiro3459117[[#This Row],[JULHO]]</f>
        <v>0</v>
      </c>
      <c r="J279" s="374">
        <f>Fluxo_de_Caixa_Janeiro345911710[[#This Row],[AGOSTO]]</f>
        <v>0</v>
      </c>
      <c r="K279" s="374">
        <f>Fluxo_de_Caixa_Janeiro34591171012[[#This Row],[SETEMBRO]]</f>
        <v>0</v>
      </c>
      <c r="L279" s="374"/>
      <c r="M279" s="374"/>
      <c r="N279" s="376"/>
      <c r="O279" s="235">
        <f>SUM(Fluxo_de_Caixa_Janeiro310201314[[#This Row],[Janeiro]:[Dezembro]])</f>
        <v>0</v>
      </c>
      <c r="P279" s="26">
        <f t="shared" si="14"/>
        <v>0</v>
      </c>
      <c r="Q279" s="76"/>
      <c r="R279" s="32"/>
    </row>
    <row r="280" spans="2:18" hidden="1" x14ac:dyDescent="0.25">
      <c r="B280" s="392">
        <f>Fluxo_de_Caixa_Janeiro[[#This Row],[Fluxo de Caixa 2026 CTR]]</f>
        <v>0</v>
      </c>
      <c r="C280" s="372"/>
      <c r="D280" s="374"/>
      <c r="E280" s="374"/>
      <c r="F280" s="374"/>
      <c r="G280" s="374"/>
      <c r="H280" s="374"/>
      <c r="I280" s="372">
        <f>Fluxo_de_Caixa_Janeiro3459117[[#This Row],[JULHO]]</f>
        <v>0</v>
      </c>
      <c r="J280" s="374">
        <f>Fluxo_de_Caixa_Janeiro345911710[[#This Row],[AGOSTO]]</f>
        <v>0</v>
      </c>
      <c r="K280" s="374">
        <f>Fluxo_de_Caixa_Janeiro34591171012[[#This Row],[SETEMBRO]]</f>
        <v>0</v>
      </c>
      <c r="L280" s="374"/>
      <c r="M280" s="374"/>
      <c r="N280" s="376"/>
      <c r="O280" s="235">
        <f>SUM(Fluxo_de_Caixa_Janeiro310201314[[#This Row],[Janeiro]:[Dezembro]])</f>
        <v>0</v>
      </c>
      <c r="P280" s="26">
        <f t="shared" si="14"/>
        <v>0</v>
      </c>
      <c r="Q280" s="76"/>
      <c r="R280" s="32"/>
    </row>
    <row r="281" spans="2:18" hidden="1" x14ac:dyDescent="0.25">
      <c r="B281" s="392">
        <f>Fluxo_de_Caixa_Janeiro[[#This Row],[Fluxo de Caixa 2026 CTR]]</f>
        <v>0</v>
      </c>
      <c r="C281" s="372"/>
      <c r="D281" s="374"/>
      <c r="E281" s="374"/>
      <c r="F281" s="374"/>
      <c r="G281" s="374"/>
      <c r="H281" s="374"/>
      <c r="I281" s="372">
        <f>Fluxo_de_Caixa_Janeiro3459117[[#This Row],[JULHO]]</f>
        <v>0</v>
      </c>
      <c r="J281" s="374">
        <f>Fluxo_de_Caixa_Janeiro345911710[[#This Row],[AGOSTO]]</f>
        <v>0</v>
      </c>
      <c r="K281" s="374">
        <f>Fluxo_de_Caixa_Janeiro34591171012[[#This Row],[SETEMBRO]]</f>
        <v>0</v>
      </c>
      <c r="L281" s="374"/>
      <c r="M281" s="374"/>
      <c r="N281" s="376"/>
      <c r="O281" s="235">
        <f>SUM(Fluxo_de_Caixa_Janeiro310201314[[#This Row],[Janeiro]:[Dezembro]])</f>
        <v>0</v>
      </c>
      <c r="P281" s="26">
        <f t="shared" si="14"/>
        <v>0</v>
      </c>
      <c r="Q281" s="76"/>
      <c r="R281" s="32"/>
    </row>
    <row r="282" spans="2:18" hidden="1" x14ac:dyDescent="0.25">
      <c r="B282" s="392">
        <f>Fluxo_de_Caixa_Janeiro[[#This Row],[Fluxo de Caixa 2026 CTR]]</f>
        <v>0</v>
      </c>
      <c r="C282" s="372"/>
      <c r="D282" s="374"/>
      <c r="E282" s="374"/>
      <c r="F282" s="374"/>
      <c r="G282" s="374"/>
      <c r="H282" s="374"/>
      <c r="I282" s="372">
        <f>Fluxo_de_Caixa_Janeiro3459117[[#This Row],[JULHO]]</f>
        <v>0</v>
      </c>
      <c r="J282" s="374">
        <f>Fluxo_de_Caixa_Janeiro345911710[[#This Row],[AGOSTO]]</f>
        <v>0</v>
      </c>
      <c r="K282" s="374">
        <f>Fluxo_de_Caixa_Janeiro34591171012[[#This Row],[SETEMBRO]]</f>
        <v>0</v>
      </c>
      <c r="L282" s="374"/>
      <c r="M282" s="374"/>
      <c r="N282" s="376"/>
      <c r="O282" s="235">
        <f>SUM(Fluxo_de_Caixa_Janeiro310201314[[#This Row],[Janeiro]:[Dezembro]])</f>
        <v>0</v>
      </c>
      <c r="P282" s="26">
        <f t="shared" si="14"/>
        <v>0</v>
      </c>
      <c r="Q282" s="76"/>
      <c r="R282" s="32"/>
    </row>
    <row r="283" spans="2:18" hidden="1" x14ac:dyDescent="0.25">
      <c r="B283" s="392">
        <f>Fluxo_de_Caixa_Janeiro[[#This Row],[Fluxo de Caixa 2026 CTR]]</f>
        <v>0</v>
      </c>
      <c r="C283" s="372"/>
      <c r="D283" s="374"/>
      <c r="E283" s="374"/>
      <c r="F283" s="374"/>
      <c r="G283" s="374"/>
      <c r="H283" s="374"/>
      <c r="I283" s="372">
        <f>Fluxo_de_Caixa_Janeiro3459117[[#This Row],[JULHO]]</f>
        <v>0</v>
      </c>
      <c r="J283" s="374">
        <f>Fluxo_de_Caixa_Janeiro345911710[[#This Row],[AGOSTO]]</f>
        <v>0</v>
      </c>
      <c r="K283" s="374">
        <f>Fluxo_de_Caixa_Janeiro34591171012[[#This Row],[SETEMBRO]]</f>
        <v>0</v>
      </c>
      <c r="L283" s="374"/>
      <c r="M283" s="374"/>
      <c r="N283" s="376"/>
      <c r="O283" s="235">
        <f>SUM(Fluxo_de_Caixa_Janeiro310201314[[#This Row],[Janeiro]:[Dezembro]])</f>
        <v>0</v>
      </c>
      <c r="P283" s="26">
        <f t="shared" si="14"/>
        <v>0</v>
      </c>
      <c r="Q283" s="76"/>
      <c r="R283" s="32"/>
    </row>
    <row r="284" spans="2:18" hidden="1" x14ac:dyDescent="0.25">
      <c r="B284" s="392">
        <f>Fluxo_de_Caixa_Janeiro[[#This Row],[Fluxo de Caixa 2026 CTR]]</f>
        <v>0</v>
      </c>
      <c r="C284" s="372"/>
      <c r="D284" s="374"/>
      <c r="E284" s="374"/>
      <c r="F284" s="374"/>
      <c r="G284" s="374"/>
      <c r="H284" s="374"/>
      <c r="I284" s="372">
        <f>Fluxo_de_Caixa_Janeiro3459117[[#This Row],[JULHO]]</f>
        <v>0</v>
      </c>
      <c r="J284" s="374">
        <f>Fluxo_de_Caixa_Janeiro345911710[[#This Row],[AGOSTO]]</f>
        <v>0</v>
      </c>
      <c r="K284" s="374">
        <f>Fluxo_de_Caixa_Janeiro34591171012[[#This Row],[SETEMBRO]]</f>
        <v>0</v>
      </c>
      <c r="L284" s="374"/>
      <c r="M284" s="374"/>
      <c r="N284" s="376"/>
      <c r="O284" s="235">
        <f>SUM(Fluxo_de_Caixa_Janeiro310201314[[#This Row],[Janeiro]:[Dezembro]])</f>
        <v>0</v>
      </c>
      <c r="P284" s="26">
        <f t="shared" si="14"/>
        <v>0</v>
      </c>
      <c r="Q284" s="76"/>
      <c r="R284" s="32"/>
    </row>
    <row r="285" spans="2:18" hidden="1" x14ac:dyDescent="0.25">
      <c r="B285" s="392">
        <f>Fluxo_de_Caixa_Janeiro[[#This Row],[Fluxo de Caixa 2026 CTR]]</f>
        <v>0</v>
      </c>
      <c r="C285" s="372"/>
      <c r="D285" s="374"/>
      <c r="E285" s="374"/>
      <c r="F285" s="374"/>
      <c r="G285" s="374"/>
      <c r="H285" s="374"/>
      <c r="I285" s="372">
        <f>Fluxo_de_Caixa_Janeiro3459117[[#This Row],[JULHO]]</f>
        <v>0</v>
      </c>
      <c r="J285" s="374">
        <f>Fluxo_de_Caixa_Janeiro345911710[[#This Row],[AGOSTO]]</f>
        <v>0</v>
      </c>
      <c r="K285" s="374">
        <f>Fluxo_de_Caixa_Janeiro34591171012[[#This Row],[SETEMBRO]]</f>
        <v>0</v>
      </c>
      <c r="L285" s="374"/>
      <c r="M285" s="374"/>
      <c r="N285" s="376"/>
      <c r="O285" s="235">
        <f>SUM(Fluxo_de_Caixa_Janeiro310201314[[#This Row],[Janeiro]:[Dezembro]])</f>
        <v>0</v>
      </c>
      <c r="P285" s="26">
        <f t="shared" si="14"/>
        <v>0</v>
      </c>
      <c r="Q285" s="76"/>
      <c r="R285" s="32"/>
    </row>
    <row r="286" spans="2:18" hidden="1" x14ac:dyDescent="0.25">
      <c r="B286" s="392">
        <f>Fluxo_de_Caixa_Janeiro[[#This Row],[Fluxo de Caixa 2026 CTR]]</f>
        <v>0</v>
      </c>
      <c r="C286" s="372"/>
      <c r="D286" s="374"/>
      <c r="E286" s="374"/>
      <c r="F286" s="374"/>
      <c r="G286" s="374"/>
      <c r="H286" s="374"/>
      <c r="I286" s="372">
        <f>Fluxo_de_Caixa_Janeiro3459117[[#This Row],[JULHO]]</f>
        <v>0</v>
      </c>
      <c r="J286" s="374">
        <f>Fluxo_de_Caixa_Janeiro345911710[[#This Row],[AGOSTO]]</f>
        <v>0</v>
      </c>
      <c r="K286" s="374">
        <f>Fluxo_de_Caixa_Janeiro34591171012[[#This Row],[SETEMBRO]]</f>
        <v>0</v>
      </c>
      <c r="L286" s="374"/>
      <c r="M286" s="374"/>
      <c r="N286" s="376"/>
      <c r="O286" s="235">
        <f>SUM(Fluxo_de_Caixa_Janeiro310201314[[#This Row],[Janeiro]:[Dezembro]])</f>
        <v>0</v>
      </c>
      <c r="P286" s="26">
        <f t="shared" si="14"/>
        <v>0</v>
      </c>
      <c r="Q286" s="76"/>
      <c r="R286" s="32"/>
    </row>
    <row r="287" spans="2:18" hidden="1" x14ac:dyDescent="0.25">
      <c r="B287" s="391">
        <f>Fluxo_de_Caixa_Janeiro[[#This Row],[Fluxo de Caixa 2026 CTR]]</f>
        <v>0</v>
      </c>
      <c r="C287" s="372"/>
      <c r="D287" s="374"/>
      <c r="E287" s="374"/>
      <c r="F287" s="374"/>
      <c r="G287" s="374"/>
      <c r="H287" s="374"/>
      <c r="I287" s="372">
        <f>Fluxo_de_Caixa_Janeiro3459117[[#This Row],[JULHO]]</f>
        <v>0</v>
      </c>
      <c r="J287" s="374">
        <f>Fluxo_de_Caixa_Janeiro345911710[[#This Row],[AGOSTO]]</f>
        <v>0</v>
      </c>
      <c r="K287" s="374">
        <f>Fluxo_de_Caixa_Janeiro34591171012[[#This Row],[SETEMBRO]]</f>
        <v>0</v>
      </c>
      <c r="L287" s="374"/>
      <c r="M287" s="374"/>
      <c r="N287" s="376"/>
      <c r="O287" s="235">
        <f>SUM(Fluxo_de_Caixa_Janeiro310201314[[#This Row],[Janeiro]:[Dezembro]])</f>
        <v>0</v>
      </c>
      <c r="P287" s="26">
        <f t="shared" si="14"/>
        <v>0</v>
      </c>
      <c r="Q287" s="76"/>
      <c r="R287" s="32"/>
    </row>
    <row r="288" spans="2:18" hidden="1" x14ac:dyDescent="0.25">
      <c r="B288" s="391">
        <f>Fluxo_de_Caixa_Janeiro[[#This Row],[Fluxo de Caixa 2026 CTR]]</f>
        <v>0</v>
      </c>
      <c r="C288" s="373"/>
      <c r="D288" s="375"/>
      <c r="E288" s="375"/>
      <c r="F288" s="375"/>
      <c r="G288" s="375"/>
      <c r="H288" s="375"/>
      <c r="I288" s="373">
        <f>Fluxo_de_Caixa_Janeiro3459117[[#This Row],[JULHO]]</f>
        <v>0</v>
      </c>
      <c r="J288" s="375">
        <f>Fluxo_de_Caixa_Janeiro345911710[[#This Row],[AGOSTO]]</f>
        <v>0</v>
      </c>
      <c r="K288" s="375">
        <f>Fluxo_de_Caixa_Janeiro34591171012[[#This Row],[SETEMBRO]]</f>
        <v>0</v>
      </c>
      <c r="L288" s="375"/>
      <c r="M288" s="375"/>
      <c r="N288" s="377"/>
      <c r="O288" s="235">
        <f>SUM(Fluxo_de_Caixa_Janeiro310201314[[#This Row],[Janeiro]:[Dezembro]])</f>
        <v>0</v>
      </c>
      <c r="P288" s="26">
        <f t="shared" si="14"/>
        <v>0</v>
      </c>
      <c r="Q288" s="76"/>
      <c r="R288" s="32"/>
    </row>
    <row r="289" spans="2:18" hidden="1" x14ac:dyDescent="0.25">
      <c r="B289" s="392">
        <f>Fluxo_de_Caixa_Janeiro[[#This Row],[Fluxo de Caixa 2026 CTR]]</f>
        <v>0</v>
      </c>
      <c r="C289" s="372"/>
      <c r="D289" s="374"/>
      <c r="E289" s="374"/>
      <c r="F289" s="374"/>
      <c r="G289" s="374"/>
      <c r="H289" s="374"/>
      <c r="I289" s="372">
        <f>Fluxo_de_Caixa_Janeiro3459117[[#This Row],[JULHO]]</f>
        <v>0</v>
      </c>
      <c r="J289" s="374">
        <f>Fluxo_de_Caixa_Janeiro345911710[[#This Row],[AGOSTO]]</f>
        <v>0</v>
      </c>
      <c r="K289" s="374">
        <f>Fluxo_de_Caixa_Janeiro34591171012[[#This Row],[SETEMBRO]]</f>
        <v>0</v>
      </c>
      <c r="L289" s="374"/>
      <c r="M289" s="374"/>
      <c r="N289" s="376"/>
      <c r="O289" s="235">
        <f>SUM(Fluxo_de_Caixa_Janeiro310201314[[#This Row],[Janeiro]:[Dezembro]])</f>
        <v>0</v>
      </c>
      <c r="P289" s="26">
        <f t="shared" si="14"/>
        <v>0</v>
      </c>
      <c r="Q289" s="76"/>
      <c r="R289" s="32"/>
    </row>
    <row r="290" spans="2:18" hidden="1" x14ac:dyDescent="0.25">
      <c r="B290" s="392">
        <f>Fluxo_de_Caixa_Janeiro[[#This Row],[Fluxo de Caixa 2026 CTR]]</f>
        <v>0</v>
      </c>
      <c r="C290" s="373"/>
      <c r="D290" s="375"/>
      <c r="E290" s="375"/>
      <c r="F290" s="375"/>
      <c r="G290" s="375"/>
      <c r="H290" s="375"/>
      <c r="I290" s="373">
        <f>Fluxo_de_Caixa_Janeiro3459117[[#This Row],[JULHO]]</f>
        <v>0</v>
      </c>
      <c r="J290" s="375">
        <f>Fluxo_de_Caixa_Janeiro345911710[[#This Row],[AGOSTO]]</f>
        <v>0</v>
      </c>
      <c r="K290" s="375">
        <f>Fluxo_de_Caixa_Janeiro34591171012[[#This Row],[SETEMBRO]]</f>
        <v>0</v>
      </c>
      <c r="L290" s="375"/>
      <c r="M290" s="375"/>
      <c r="N290" s="377"/>
      <c r="O290" s="235">
        <f>SUM(Fluxo_de_Caixa_Janeiro310201314[[#This Row],[Janeiro]:[Dezembro]])</f>
        <v>0</v>
      </c>
      <c r="P290" s="26">
        <f t="shared" si="14"/>
        <v>0</v>
      </c>
      <c r="Q290" s="76"/>
      <c r="R290" s="32"/>
    </row>
    <row r="291" spans="2:18" hidden="1" x14ac:dyDescent="0.25">
      <c r="B291" s="270">
        <f>Fluxo_de_Caixa_Janeiro[[#This Row],[Fluxo de Caixa 2026 CTR]]</f>
        <v>0</v>
      </c>
      <c r="C291" s="45"/>
      <c r="D291" s="80"/>
      <c r="E291" s="80"/>
      <c r="F291" s="80"/>
      <c r="G291" s="80"/>
      <c r="H291" s="80"/>
      <c r="I291" s="45">
        <f>Fluxo_de_Caixa_Janeiro3459117[[#This Row],[JULHO]]</f>
        <v>0</v>
      </c>
      <c r="J291" s="80">
        <f>Fluxo_de_Caixa_Janeiro345911710[[#This Row],[AGOSTO]]</f>
        <v>0</v>
      </c>
      <c r="K291" s="80">
        <f>Fluxo_de_Caixa_Janeiro34591171012[[#This Row],[SETEMBRO]]</f>
        <v>0</v>
      </c>
      <c r="L291" s="80"/>
      <c r="M291" s="80"/>
      <c r="N291" s="134"/>
      <c r="O291" s="235">
        <f>SUM(Fluxo_de_Caixa_Janeiro310201314[[#This Row],[Janeiro]:[Dezembro]])</f>
        <v>0</v>
      </c>
      <c r="P291" s="26">
        <f t="shared" si="14"/>
        <v>0</v>
      </c>
      <c r="Q291" s="76"/>
      <c r="R291" s="32" t="str">
        <f>IF(Fluxo_de_Caixa_Janeiro310201314[[#This Row],[% ACUMULADO  3º SEMEST 2026]]&lt;=Fluxo_de_Caixa_Janeiro310201314[[#This Row],[Coluna1]],"VERDADEIRO","FALSO")</f>
        <v>VERDADEIRO</v>
      </c>
    </row>
    <row r="292" spans="2:18" ht="15.75" hidden="1" thickBot="1" x14ac:dyDescent="0.3">
      <c r="B292" s="270">
        <f>Fluxo_de_Caixa_Janeiro[[#This Row],[Fluxo de Caixa 2026 CTR]]</f>
        <v>0</v>
      </c>
      <c r="C292" s="45"/>
      <c r="D292" s="80"/>
      <c r="E292" s="80"/>
      <c r="F292" s="80"/>
      <c r="G292" s="80"/>
      <c r="H292" s="80"/>
      <c r="I292" s="45">
        <f>Fluxo_de_Caixa_Janeiro3459117[[#This Row],[JULHO]]</f>
        <v>0</v>
      </c>
      <c r="J292" s="80">
        <f>Fluxo_de_Caixa_Janeiro345911710[[#This Row],[AGOSTO]]</f>
        <v>0</v>
      </c>
      <c r="K292" s="80">
        <f>Fluxo_de_Caixa_Janeiro34591171012[[#This Row],[SETEMBRO]]</f>
        <v>0</v>
      </c>
      <c r="L292" s="80"/>
      <c r="M292" s="80"/>
      <c r="N292" s="134"/>
      <c r="O292" s="235">
        <f>SUM(Fluxo_de_Caixa_Janeiro310201314[[#This Row],[Janeiro]:[Dezembro]])</f>
        <v>0</v>
      </c>
      <c r="P292" s="26">
        <f t="shared" si="14"/>
        <v>0</v>
      </c>
      <c r="Q292" s="76"/>
      <c r="R292" s="32" t="str">
        <f>IF(Fluxo_de_Caixa_Janeiro310201314[[#This Row],[% ACUMULADO  3º SEMEST 2026]]&lt;=Fluxo_de_Caixa_Janeiro310201314[[#This Row],[Coluna1]],"VERDADEIRO","FALSO")</f>
        <v>VERDADEIRO</v>
      </c>
    </row>
    <row r="293" spans="2:18" ht="15.75" hidden="1" thickBot="1" x14ac:dyDescent="0.3">
      <c r="B293" s="280">
        <f>Fluxo_de_Caixa_Janeiro[[#This Row],[Fluxo de Caixa 2026 CTR]]</f>
        <v>0</v>
      </c>
      <c r="C293" s="163"/>
      <c r="D293" s="106"/>
      <c r="E293" s="106"/>
      <c r="F293" s="106"/>
      <c r="G293" s="106"/>
      <c r="H293" s="106"/>
      <c r="I293" s="163">
        <f>Fluxo_de_Caixa_Janeiro3459117[[#This Row],[JULHO]]</f>
        <v>0</v>
      </c>
      <c r="J293" s="106">
        <f>Fluxo_de_Caixa_Janeiro345911710[[#This Row],[AGOSTO]]</f>
        <v>0</v>
      </c>
      <c r="K293" s="106">
        <f>Fluxo_de_Caixa_Janeiro34591171012[[#This Row],[SETEMBRO]]</f>
        <v>0</v>
      </c>
      <c r="L293" s="106"/>
      <c r="M293" s="106"/>
      <c r="N293" s="135"/>
      <c r="O293" s="236">
        <f>SUM(Fluxo_de_Caixa_Janeiro310201314[[#This Row],[Janeiro]:[Dezembro]])</f>
        <v>0</v>
      </c>
      <c r="P293" s="148">
        <f t="shared" si="14"/>
        <v>0</v>
      </c>
      <c r="Q293" s="107"/>
      <c r="R293" s="32" t="str">
        <f>IF(Fluxo_de_Caixa_Janeiro310201314[[#This Row],[% ACUMULADO  3º SEMEST 2026]]&lt;=Fluxo_de_Caixa_Janeiro310201314[[#This Row],[Coluna1]],"VERDADEIRO","FALSO")</f>
        <v>VERDADEIRO</v>
      </c>
    </row>
    <row r="294" spans="2:18" ht="19.5" thickBot="1" x14ac:dyDescent="0.35">
      <c r="B294" s="168" t="str">
        <f>Fluxo_de_Caixa_Janeiro[[#This Row],[Fluxo de Caixa 2026 CTR]]</f>
        <v>5.2 DESPESA COM INVESTIMENTO</v>
      </c>
      <c r="C294" s="158"/>
      <c r="D294" s="97"/>
      <c r="E294" s="97"/>
      <c r="F294" s="97"/>
      <c r="G294" s="97"/>
      <c r="H294" s="97"/>
      <c r="I294" s="158">
        <f>Fluxo_de_Caixa_Janeiro3459117[[#This Row],[JULHO]]</f>
        <v>0</v>
      </c>
      <c r="J294" s="97">
        <f>Fluxo_de_Caixa_Janeiro345911710[[#This Row],[AGOSTO]]</f>
        <v>0</v>
      </c>
      <c r="K294" s="97">
        <f>Fluxo_de_Caixa_Janeiro34591171012[[#This Row],[SETEMBRO]]</f>
        <v>0</v>
      </c>
      <c r="L294" s="97"/>
      <c r="M294" s="97"/>
      <c r="N294" s="129"/>
      <c r="O294" s="226">
        <f>SUM(Fluxo_de_Caixa_Janeiro310201314[[#This Row],[Janeiro]:[Dezembro]])</f>
        <v>0</v>
      </c>
      <c r="P294" s="144">
        <f t="shared" si="14"/>
        <v>0</v>
      </c>
      <c r="Q294" s="98"/>
      <c r="R294" s="32" t="str">
        <f>IF(Fluxo_de_Caixa_Janeiro310201314[[#This Row],[% ACUMULADO  3º SEMEST 2026]]&lt;=Fluxo_de_Caixa_Janeiro310201314[[#This Row],[Coluna1]],"VERDADEIRO","FALSO")</f>
        <v>VERDADEIRO</v>
      </c>
    </row>
    <row r="295" spans="2:18" x14ac:dyDescent="0.25">
      <c r="B295" s="270" t="str">
        <f>Fluxo_de_Caixa_Janeiro[[#This Row],[Fluxo de Caixa 2026 CTR]]</f>
        <v>5.2.01. IMÓVEIS</v>
      </c>
      <c r="C295" s="45"/>
      <c r="D295" s="80"/>
      <c r="E295" s="80"/>
      <c r="F295" s="80"/>
      <c r="G295" s="80"/>
      <c r="H295" s="80"/>
      <c r="I295" s="45">
        <f>Fluxo_de_Caixa_Janeiro3459117[[#This Row],[JULHO]]</f>
        <v>0</v>
      </c>
      <c r="J295" s="80">
        <f>Fluxo_de_Caixa_Janeiro345911710[[#This Row],[AGOSTO]]</f>
        <v>0</v>
      </c>
      <c r="K295" s="80">
        <f>Fluxo_de_Caixa_Janeiro34591171012[[#This Row],[SETEMBRO]]</f>
        <v>0</v>
      </c>
      <c r="L295" s="80"/>
      <c r="M295" s="80"/>
      <c r="N295" s="134"/>
      <c r="O295" s="235">
        <f>SUM(Fluxo_de_Caixa_Janeiro310201314[[#This Row],[Janeiro]:[Dezembro]])</f>
        <v>0</v>
      </c>
      <c r="P295" s="26">
        <f t="shared" si="14"/>
        <v>0</v>
      </c>
      <c r="Q295" s="76"/>
      <c r="R295" s="32" t="str">
        <f>IF(Fluxo_de_Caixa_Janeiro310201314[[#This Row],[% ACUMULADO  3º SEMEST 2026]]&lt;=Fluxo_de_Caixa_Janeiro310201314[[#This Row],[Coluna1]],"VERDADEIRO","FALSO")</f>
        <v>VERDADEIRO</v>
      </c>
    </row>
    <row r="296" spans="2:18" x14ac:dyDescent="0.25">
      <c r="B296" s="391" t="str">
        <f>Fluxo_de_Caixa_Janeiro[[#This Row],[Fluxo de Caixa 2026 CTR]]</f>
        <v>5.2.02. CONSTRUCAO E AMPLIAÇÕES EXTRUTURA</v>
      </c>
      <c r="C296" s="372"/>
      <c r="D296" s="374"/>
      <c r="E296" s="374"/>
      <c r="F296" s="374"/>
      <c r="G296" s="374"/>
      <c r="H296" s="374"/>
      <c r="I296" s="372">
        <f>Fluxo_de_Caixa_Janeiro3459117[[#This Row],[JULHO]]</f>
        <v>0</v>
      </c>
      <c r="J296" s="374">
        <f>Fluxo_de_Caixa_Janeiro345911710[[#This Row],[AGOSTO]]</f>
        <v>0</v>
      </c>
      <c r="K296" s="374">
        <f>Fluxo_de_Caixa_Janeiro34591171012[[#This Row],[SETEMBRO]]</f>
        <v>0</v>
      </c>
      <c r="L296" s="374"/>
      <c r="M296" s="374"/>
      <c r="N296" s="376"/>
      <c r="O296" s="235">
        <f>SUM(Fluxo_de_Caixa_Janeiro310201314[[#This Row],[Janeiro]:[Dezembro]])</f>
        <v>0</v>
      </c>
      <c r="P296" s="26">
        <f t="shared" si="14"/>
        <v>0</v>
      </c>
      <c r="Q296" s="76"/>
      <c r="R296" s="32"/>
    </row>
    <row r="297" spans="2:18" x14ac:dyDescent="0.25">
      <c r="B297" s="391" t="str">
        <f>Fluxo_de_Caixa_Janeiro[[#This Row],[Fluxo de Caixa 2026 CTR]]</f>
        <v>5.2.03. LEASING</v>
      </c>
      <c r="C297" s="372"/>
      <c r="D297" s="374"/>
      <c r="E297" s="374"/>
      <c r="F297" s="374"/>
      <c r="G297" s="374"/>
      <c r="H297" s="374"/>
      <c r="I297" s="372">
        <f>Fluxo_de_Caixa_Janeiro3459117[[#This Row],[JULHO]]</f>
        <v>0</v>
      </c>
      <c r="J297" s="374">
        <f>Fluxo_de_Caixa_Janeiro345911710[[#This Row],[AGOSTO]]</f>
        <v>0</v>
      </c>
      <c r="K297" s="374">
        <f>Fluxo_de_Caixa_Janeiro34591171012[[#This Row],[SETEMBRO]]</f>
        <v>0</v>
      </c>
      <c r="L297" s="374"/>
      <c r="M297" s="374"/>
      <c r="N297" s="376"/>
      <c r="O297" s="235">
        <f>SUM(Fluxo_de_Caixa_Janeiro310201314[[#This Row],[Janeiro]:[Dezembro]])</f>
        <v>0</v>
      </c>
      <c r="P297" s="26">
        <f t="shared" si="14"/>
        <v>0</v>
      </c>
      <c r="Q297" s="76"/>
      <c r="R297" s="32"/>
    </row>
    <row r="298" spans="2:18" x14ac:dyDescent="0.25">
      <c r="B298" s="391" t="str">
        <f>Fluxo_de_Caixa_Janeiro[[#This Row],[Fluxo de Caixa 2026 CTR]]</f>
        <v>5.2.04. COMPRA DE TERRENOS</v>
      </c>
      <c r="C298" s="372"/>
      <c r="D298" s="374"/>
      <c r="E298" s="374"/>
      <c r="F298" s="374"/>
      <c r="G298" s="374"/>
      <c r="H298" s="374"/>
      <c r="I298" s="372">
        <f>Fluxo_de_Caixa_Janeiro3459117[[#This Row],[JULHO]]</f>
        <v>0</v>
      </c>
      <c r="J298" s="374">
        <f>Fluxo_de_Caixa_Janeiro345911710[[#This Row],[AGOSTO]]</f>
        <v>0</v>
      </c>
      <c r="K298" s="374">
        <f>Fluxo_de_Caixa_Janeiro34591171012[[#This Row],[SETEMBRO]]</f>
        <v>0</v>
      </c>
      <c r="L298" s="374"/>
      <c r="M298" s="374"/>
      <c r="N298" s="376"/>
      <c r="O298" s="235">
        <f>SUM(Fluxo_de_Caixa_Janeiro310201314[[#This Row],[Janeiro]:[Dezembro]])</f>
        <v>0</v>
      </c>
      <c r="P298" s="26">
        <f t="shared" si="14"/>
        <v>0</v>
      </c>
      <c r="Q298" s="76"/>
      <c r="R298" s="32"/>
    </row>
    <row r="299" spans="2:18" x14ac:dyDescent="0.25">
      <c r="B299" s="391" t="str">
        <f>Fluxo_de_Caixa_Janeiro[[#This Row],[Fluxo de Caixa 2026 CTR]]</f>
        <v>5.2.06. AQUISICAO TITULO DE CAPITALIZACAO</v>
      </c>
      <c r="C299" s="372"/>
      <c r="D299" s="374"/>
      <c r="E299" s="374"/>
      <c r="F299" s="374"/>
      <c r="G299" s="374"/>
      <c r="H299" s="374"/>
      <c r="I299" s="372">
        <f>Fluxo_de_Caixa_Janeiro3459117[[#This Row],[JULHO]]</f>
        <v>0</v>
      </c>
      <c r="J299" s="374">
        <f>Fluxo_de_Caixa_Janeiro345911710[[#This Row],[AGOSTO]]</f>
        <v>0</v>
      </c>
      <c r="K299" s="374">
        <f>Fluxo_de_Caixa_Janeiro34591171012[[#This Row],[SETEMBRO]]</f>
        <v>0</v>
      </c>
      <c r="L299" s="374"/>
      <c r="M299" s="374"/>
      <c r="N299" s="376"/>
      <c r="O299" s="235">
        <f>SUM(Fluxo_de_Caixa_Janeiro310201314[[#This Row],[Janeiro]:[Dezembro]])</f>
        <v>0</v>
      </c>
      <c r="P299" s="26">
        <f t="shared" si="14"/>
        <v>0</v>
      </c>
      <c r="Q299" s="76"/>
      <c r="R299" s="32"/>
    </row>
    <row r="300" spans="2:18" x14ac:dyDescent="0.25">
      <c r="B300" s="391" t="str">
        <f>Fluxo_de_Caixa_Janeiro[[#This Row],[Fluxo de Caixa 2026 CTR]]</f>
        <v>5.2.07. CONSORCIOS</v>
      </c>
      <c r="C300" s="372"/>
      <c r="D300" s="374"/>
      <c r="E300" s="374"/>
      <c r="F300" s="374"/>
      <c r="G300" s="374"/>
      <c r="H300" s="374"/>
      <c r="I300" s="372">
        <f>Fluxo_de_Caixa_Janeiro3459117[[#This Row],[JULHO]]</f>
        <v>0</v>
      </c>
      <c r="J300" s="374">
        <f>Fluxo_de_Caixa_Janeiro345911710[[#This Row],[AGOSTO]]</f>
        <v>0</v>
      </c>
      <c r="K300" s="374">
        <f>Fluxo_de_Caixa_Janeiro34591171012[[#This Row],[SETEMBRO]]</f>
        <v>0</v>
      </c>
      <c r="L300" s="374"/>
      <c r="M300" s="374"/>
      <c r="N300" s="376"/>
      <c r="O300" s="235">
        <f>SUM(Fluxo_de_Caixa_Janeiro310201314[[#This Row],[Janeiro]:[Dezembro]])</f>
        <v>0</v>
      </c>
      <c r="P300" s="26">
        <f t="shared" si="14"/>
        <v>0</v>
      </c>
      <c r="Q300" s="76"/>
      <c r="R300" s="32"/>
    </row>
    <row r="301" spans="2:18" x14ac:dyDescent="0.25">
      <c r="B301" s="391" t="str">
        <f>Fluxo_de_Caixa_Janeiro[[#This Row],[Fluxo de Caixa 2026 CTR]]</f>
        <v>5.2.08. INVESTIM NOVAS EMPRESAS E FILIAIS</v>
      </c>
      <c r="C301" s="372"/>
      <c r="D301" s="374"/>
      <c r="E301" s="374"/>
      <c r="F301" s="374"/>
      <c r="G301" s="374"/>
      <c r="H301" s="374"/>
      <c r="I301" s="372">
        <f>Fluxo_de_Caixa_Janeiro3459117[[#This Row],[JULHO]]</f>
        <v>0</v>
      </c>
      <c r="J301" s="374">
        <f>Fluxo_de_Caixa_Janeiro345911710[[#This Row],[AGOSTO]]</f>
        <v>0</v>
      </c>
      <c r="K301" s="374">
        <f>Fluxo_de_Caixa_Janeiro34591171012[[#This Row],[SETEMBRO]]</f>
        <v>0</v>
      </c>
      <c r="L301" s="374"/>
      <c r="M301" s="374"/>
      <c r="N301" s="376"/>
      <c r="O301" s="235">
        <f>SUM(Fluxo_de_Caixa_Janeiro310201314[[#This Row],[Janeiro]:[Dezembro]])</f>
        <v>0</v>
      </c>
      <c r="P301" s="26">
        <f t="shared" si="14"/>
        <v>0</v>
      </c>
      <c r="Q301" s="76"/>
      <c r="R301" s="32"/>
    </row>
    <row r="302" spans="2:18" hidden="1" x14ac:dyDescent="0.25">
      <c r="B302" s="391" t="str">
        <f>Fluxo_de_Caixa_Janeiro[[#This Row],[Fluxo de Caixa 2026 CTR]]</f>
        <v>5.2.14. FRETE COMPRA ATIVO IMOBILIZADO</v>
      </c>
      <c r="C302" s="373"/>
      <c r="D302" s="375"/>
      <c r="E302" s="375"/>
      <c r="F302" s="375"/>
      <c r="G302" s="375"/>
      <c r="H302" s="375"/>
      <c r="I302" s="373">
        <f>Fluxo_de_Caixa_Janeiro3459117[[#This Row],[JULHO]]</f>
        <v>0</v>
      </c>
      <c r="J302" s="375">
        <f>Fluxo_de_Caixa_Janeiro345911710[[#This Row],[AGOSTO]]</f>
        <v>0</v>
      </c>
      <c r="K302" s="375">
        <f>Fluxo_de_Caixa_Janeiro34591171012[[#This Row],[SETEMBRO]]</f>
        <v>0</v>
      </c>
      <c r="L302" s="375"/>
      <c r="M302" s="375"/>
      <c r="N302" s="377"/>
      <c r="O302" s="235">
        <f>SUM(Fluxo_de_Caixa_Janeiro310201314[[#This Row],[Janeiro]:[Dezembro]])</f>
        <v>0</v>
      </c>
      <c r="P302" s="26">
        <f t="shared" si="14"/>
        <v>0</v>
      </c>
      <c r="Q302" s="76"/>
      <c r="R302" s="32"/>
    </row>
    <row r="303" spans="2:18" hidden="1" x14ac:dyDescent="0.25">
      <c r="B303" s="391" t="str">
        <f>Fluxo_de_Caixa_Janeiro[[#This Row],[Fluxo de Caixa 2026 CTR]]</f>
        <v>5.2.15. AQUISICAO DE NOVO SOFTWARE INFORMATICA</v>
      </c>
      <c r="C303" s="372"/>
      <c r="D303" s="374"/>
      <c r="E303" s="374"/>
      <c r="F303" s="374"/>
      <c r="G303" s="374"/>
      <c r="H303" s="374"/>
      <c r="I303" s="372">
        <f>Fluxo_de_Caixa_Janeiro3459117[[#This Row],[JULHO]]</f>
        <v>0</v>
      </c>
      <c r="J303" s="374">
        <f>Fluxo_de_Caixa_Janeiro345911710[[#This Row],[AGOSTO]]</f>
        <v>0</v>
      </c>
      <c r="K303" s="374">
        <f>Fluxo_de_Caixa_Janeiro34591171012[[#This Row],[SETEMBRO]]</f>
        <v>0</v>
      </c>
      <c r="L303" s="374"/>
      <c r="M303" s="374"/>
      <c r="N303" s="376"/>
      <c r="O303" s="235">
        <f>SUM(Fluxo_de_Caixa_Janeiro310201314[[#This Row],[Janeiro]:[Dezembro]])</f>
        <v>0</v>
      </c>
      <c r="P303" s="26">
        <f t="shared" si="14"/>
        <v>0</v>
      </c>
      <c r="Q303" s="76"/>
      <c r="R303" s="32"/>
    </row>
    <row r="304" spans="2:18" ht="15.75" thickBot="1" x14ac:dyDescent="0.3">
      <c r="B304" s="391" t="str">
        <f>Fluxo_de_Caixa_Janeiro[[#This Row],[Fluxo de Caixa 2026 CTR]]</f>
        <v>5.2.16. PARTICIPACAO SOCIEDADE COOPERATI</v>
      </c>
      <c r="C304" s="372"/>
      <c r="D304" s="374"/>
      <c r="E304" s="374"/>
      <c r="F304" s="374"/>
      <c r="G304" s="374"/>
      <c r="H304" s="374"/>
      <c r="I304" s="372">
        <f>Fluxo_de_Caixa_Janeiro3459117[[#This Row],[JULHO]]</f>
        <v>0</v>
      </c>
      <c r="J304" s="374">
        <f>Fluxo_de_Caixa_Janeiro345911710[[#This Row],[AGOSTO]]</f>
        <v>0</v>
      </c>
      <c r="K304" s="374">
        <f>Fluxo_de_Caixa_Janeiro34591171012[[#This Row],[SETEMBRO]]</f>
        <v>0</v>
      </c>
      <c r="L304" s="374"/>
      <c r="M304" s="374"/>
      <c r="N304" s="376"/>
      <c r="O304" s="235">
        <f>SUM(Fluxo_de_Caixa_Janeiro310201314[[#This Row],[Janeiro]:[Dezembro]])</f>
        <v>0</v>
      </c>
      <c r="P304" s="26">
        <f t="shared" si="14"/>
        <v>0</v>
      </c>
      <c r="Q304" s="76"/>
      <c r="R304" s="32"/>
    </row>
    <row r="305" spans="2:18" hidden="1" x14ac:dyDescent="0.25">
      <c r="B305" s="391" t="str">
        <f>Fluxo_de_Caixa_Janeiro[[#This Row],[Fluxo de Caixa 2026 CTR]]</f>
        <v>5.2.17. DEVOLUÇÃO DE CAPITAL INVESTIDO</v>
      </c>
      <c r="C305" s="372"/>
      <c r="D305" s="374"/>
      <c r="E305" s="374"/>
      <c r="F305" s="374"/>
      <c r="G305" s="374"/>
      <c r="H305" s="374"/>
      <c r="I305" s="372">
        <f>Fluxo_de_Caixa_Janeiro3459117[[#This Row],[JULHO]]</f>
        <v>0</v>
      </c>
      <c r="J305" s="374">
        <f>Fluxo_de_Caixa_Janeiro345911710[[#This Row],[AGOSTO]]</f>
        <v>0</v>
      </c>
      <c r="K305" s="374">
        <f>Fluxo_de_Caixa_Janeiro34591171012[[#This Row],[SETEMBRO]]</f>
        <v>0</v>
      </c>
      <c r="L305" s="374"/>
      <c r="M305" s="374"/>
      <c r="N305" s="376"/>
      <c r="O305" s="235">
        <f>SUM(Fluxo_de_Caixa_Janeiro310201314[[#This Row],[Janeiro]:[Dezembro]])</f>
        <v>0</v>
      </c>
      <c r="P305" s="26">
        <f t="shared" si="14"/>
        <v>0</v>
      </c>
      <c r="Q305" s="76"/>
      <c r="R305" s="32"/>
    </row>
    <row r="306" spans="2:18" hidden="1" x14ac:dyDescent="0.25">
      <c r="B306" s="391">
        <f>Fluxo_de_Caixa_Janeiro[[#This Row],[Fluxo de Caixa 2026 CTR]]</f>
        <v>0</v>
      </c>
      <c r="C306" s="373"/>
      <c r="D306" s="375"/>
      <c r="E306" s="375"/>
      <c r="F306" s="375"/>
      <c r="G306" s="375"/>
      <c r="H306" s="375"/>
      <c r="I306" s="373">
        <f>Fluxo_de_Caixa_Janeiro3459117[[#This Row],[JULHO]]</f>
        <v>0</v>
      </c>
      <c r="J306" s="375">
        <f>Fluxo_de_Caixa_Janeiro345911710[[#This Row],[AGOSTO]]</f>
        <v>0</v>
      </c>
      <c r="K306" s="375">
        <f>Fluxo_de_Caixa_Janeiro34591171012[[#This Row],[SETEMBRO]]</f>
        <v>0</v>
      </c>
      <c r="L306" s="375"/>
      <c r="M306" s="375"/>
      <c r="N306" s="377"/>
      <c r="O306" s="235">
        <f>SUM(Fluxo_de_Caixa_Janeiro310201314[[#This Row],[Janeiro]:[Dezembro]])</f>
        <v>0</v>
      </c>
      <c r="P306" s="26">
        <f t="shared" si="14"/>
        <v>0</v>
      </c>
      <c r="Q306" s="76"/>
      <c r="R306" s="32"/>
    </row>
    <row r="307" spans="2:18" hidden="1" x14ac:dyDescent="0.25">
      <c r="B307" s="392">
        <f>Fluxo_de_Caixa_Janeiro[[#This Row],[Fluxo de Caixa 2026 CTR]]</f>
        <v>0</v>
      </c>
      <c r="C307" s="372"/>
      <c r="D307" s="374"/>
      <c r="E307" s="374"/>
      <c r="F307" s="374"/>
      <c r="G307" s="374"/>
      <c r="H307" s="374"/>
      <c r="I307" s="372">
        <f>Fluxo_de_Caixa_Janeiro3459117[[#This Row],[JULHO]]</f>
        <v>0</v>
      </c>
      <c r="J307" s="374">
        <f>Fluxo_de_Caixa_Janeiro345911710[[#This Row],[AGOSTO]]</f>
        <v>0</v>
      </c>
      <c r="K307" s="374">
        <f>Fluxo_de_Caixa_Janeiro34591171012[[#This Row],[SETEMBRO]]</f>
        <v>0</v>
      </c>
      <c r="L307" s="374"/>
      <c r="M307" s="374"/>
      <c r="N307" s="376"/>
      <c r="O307" s="235">
        <f>SUM(Fluxo_de_Caixa_Janeiro310201314[[#This Row],[Janeiro]:[Dezembro]])</f>
        <v>0</v>
      </c>
      <c r="P307" s="26">
        <f t="shared" si="14"/>
        <v>0</v>
      </c>
      <c r="Q307" s="76"/>
      <c r="R307" s="32"/>
    </row>
    <row r="308" spans="2:18" hidden="1" x14ac:dyDescent="0.25">
      <c r="B308" s="392">
        <f>Fluxo_de_Caixa_Janeiro[[#This Row],[Fluxo de Caixa 2026 CTR]]</f>
        <v>0</v>
      </c>
      <c r="C308" s="372"/>
      <c r="D308" s="374"/>
      <c r="E308" s="374"/>
      <c r="F308" s="374"/>
      <c r="G308" s="374"/>
      <c r="H308" s="374"/>
      <c r="I308" s="372">
        <f>Fluxo_de_Caixa_Janeiro3459117[[#This Row],[JULHO]]</f>
        <v>0</v>
      </c>
      <c r="J308" s="374">
        <f>Fluxo_de_Caixa_Janeiro345911710[[#This Row],[AGOSTO]]</f>
        <v>0</v>
      </c>
      <c r="K308" s="374">
        <f>Fluxo_de_Caixa_Janeiro34591171012[[#This Row],[SETEMBRO]]</f>
        <v>0</v>
      </c>
      <c r="L308" s="374"/>
      <c r="M308" s="374"/>
      <c r="N308" s="376"/>
      <c r="O308" s="235">
        <f>SUM(Fluxo_de_Caixa_Janeiro310201314[[#This Row],[Janeiro]:[Dezembro]])</f>
        <v>0</v>
      </c>
      <c r="P308" s="26">
        <f t="shared" si="14"/>
        <v>0</v>
      </c>
      <c r="Q308" s="76"/>
      <c r="R308" s="32"/>
    </row>
    <row r="309" spans="2:18" hidden="1" x14ac:dyDescent="0.25">
      <c r="B309" s="392">
        <f>Fluxo_de_Caixa_Janeiro[[#This Row],[Fluxo de Caixa 2026 CTR]]</f>
        <v>0</v>
      </c>
      <c r="C309" s="373"/>
      <c r="D309" s="375"/>
      <c r="E309" s="375"/>
      <c r="F309" s="375"/>
      <c r="G309" s="375"/>
      <c r="H309" s="375"/>
      <c r="I309" s="373">
        <f>Fluxo_de_Caixa_Janeiro3459117[[#This Row],[JULHO]]</f>
        <v>0</v>
      </c>
      <c r="J309" s="375">
        <f>Fluxo_de_Caixa_Janeiro345911710[[#This Row],[AGOSTO]]</f>
        <v>0</v>
      </c>
      <c r="K309" s="375">
        <f>Fluxo_de_Caixa_Janeiro34591171012[[#This Row],[SETEMBRO]]</f>
        <v>0</v>
      </c>
      <c r="L309" s="375"/>
      <c r="M309" s="375"/>
      <c r="N309" s="377"/>
      <c r="O309" s="235">
        <f>SUM(Fluxo_de_Caixa_Janeiro310201314[[#This Row],[Janeiro]:[Dezembro]])</f>
        <v>0</v>
      </c>
      <c r="P309" s="26">
        <f t="shared" si="14"/>
        <v>0</v>
      </c>
      <c r="Q309" s="76"/>
      <c r="R309" s="32"/>
    </row>
    <row r="310" spans="2:18" hidden="1" x14ac:dyDescent="0.25">
      <c r="B310" s="270">
        <f>Fluxo_de_Caixa_Janeiro[[#This Row],[Fluxo de Caixa 2026 CTR]]</f>
        <v>0</v>
      </c>
      <c r="C310" s="45"/>
      <c r="D310" s="80"/>
      <c r="E310" s="80"/>
      <c r="F310" s="80"/>
      <c r="G310" s="80"/>
      <c r="H310" s="80"/>
      <c r="I310" s="45">
        <f>Fluxo_de_Caixa_Janeiro3459117[[#This Row],[JULHO]]</f>
        <v>0</v>
      </c>
      <c r="J310" s="80">
        <f>Fluxo_de_Caixa_Janeiro345911710[[#This Row],[AGOSTO]]</f>
        <v>0</v>
      </c>
      <c r="K310" s="80">
        <f>Fluxo_de_Caixa_Janeiro34591171012[[#This Row],[SETEMBRO]]</f>
        <v>0</v>
      </c>
      <c r="L310" s="80"/>
      <c r="M310" s="80"/>
      <c r="N310" s="134"/>
      <c r="O310" s="235">
        <f>SUM(Fluxo_de_Caixa_Janeiro310201314[[#This Row],[Janeiro]:[Dezembro]])</f>
        <v>0</v>
      </c>
      <c r="P310" s="26">
        <f t="shared" si="14"/>
        <v>0</v>
      </c>
      <c r="Q310" s="76"/>
      <c r="R310" s="32" t="str">
        <f>IF(Fluxo_de_Caixa_Janeiro310201314[[#This Row],[% ACUMULADO  3º SEMEST 2026]]&lt;=Fluxo_de_Caixa_Janeiro310201314[[#This Row],[Coluna1]],"VERDADEIRO","FALSO")</f>
        <v>VERDADEIRO</v>
      </c>
    </row>
    <row r="311" spans="2:18" hidden="1" x14ac:dyDescent="0.25">
      <c r="B311" s="270">
        <f>Fluxo_de_Caixa_Janeiro[[#This Row],[Fluxo de Caixa 2026 CTR]]</f>
        <v>0</v>
      </c>
      <c r="C311" s="45"/>
      <c r="D311" s="80"/>
      <c r="E311" s="80"/>
      <c r="F311" s="80"/>
      <c r="G311" s="80"/>
      <c r="H311" s="80"/>
      <c r="I311" s="45">
        <f>Fluxo_de_Caixa_Janeiro3459117[[#This Row],[JULHO]]</f>
        <v>0</v>
      </c>
      <c r="J311" s="80">
        <f>Fluxo_de_Caixa_Janeiro345911710[[#This Row],[AGOSTO]]</f>
        <v>0</v>
      </c>
      <c r="K311" s="80">
        <f>Fluxo_de_Caixa_Janeiro34591171012[[#This Row],[SETEMBRO]]</f>
        <v>0</v>
      </c>
      <c r="L311" s="80"/>
      <c r="M311" s="80"/>
      <c r="N311" s="134"/>
      <c r="O311" s="235">
        <f>SUM(Fluxo_de_Caixa_Janeiro310201314[[#This Row],[Janeiro]:[Dezembro]])</f>
        <v>0</v>
      </c>
      <c r="P311" s="26">
        <f t="shared" si="14"/>
        <v>0</v>
      </c>
      <c r="Q311" s="76"/>
      <c r="R311" s="32" t="str">
        <f>IF(Fluxo_de_Caixa_Janeiro310201314[[#This Row],[% ACUMULADO  3º SEMEST 2026]]&lt;=Fluxo_de_Caixa_Janeiro310201314[[#This Row],[Coluna1]],"VERDADEIRO","FALSO")</f>
        <v>VERDADEIRO</v>
      </c>
    </row>
    <row r="312" spans="2:18" ht="15.75" hidden="1" thickBot="1" x14ac:dyDescent="0.3">
      <c r="B312" s="270">
        <f>Fluxo_de_Caixa_Janeiro[[#This Row],[Fluxo de Caixa 2026 CTR]]</f>
        <v>0</v>
      </c>
      <c r="C312" s="45"/>
      <c r="D312" s="80"/>
      <c r="E312" s="80"/>
      <c r="F312" s="80"/>
      <c r="G312" s="80"/>
      <c r="H312" s="80"/>
      <c r="I312" s="45">
        <f>Fluxo_de_Caixa_Janeiro3459117[[#This Row],[JULHO]]</f>
        <v>0</v>
      </c>
      <c r="J312" s="80">
        <f>Fluxo_de_Caixa_Janeiro345911710[[#This Row],[AGOSTO]]</f>
        <v>0</v>
      </c>
      <c r="K312" s="80">
        <f>Fluxo_de_Caixa_Janeiro34591171012[[#This Row],[SETEMBRO]]</f>
        <v>0</v>
      </c>
      <c r="L312" s="80"/>
      <c r="M312" s="80"/>
      <c r="N312" s="134"/>
      <c r="O312" s="235">
        <f>SUM(Fluxo_de_Caixa_Janeiro310201314[[#This Row],[Janeiro]:[Dezembro]])</f>
        <v>0</v>
      </c>
      <c r="P312" s="26">
        <f t="shared" si="14"/>
        <v>0</v>
      </c>
      <c r="Q312" s="76"/>
      <c r="R312" s="32" t="str">
        <f>IF(Fluxo_de_Caixa_Janeiro310201314[[#This Row],[% ACUMULADO  3º SEMEST 2026]]&lt;=Fluxo_de_Caixa_Janeiro310201314[[#This Row],[Coluna1]],"VERDADEIRO","FALSO")</f>
        <v>VERDADEIRO</v>
      </c>
    </row>
    <row r="313" spans="2:18" ht="15.75" hidden="1" thickBot="1" x14ac:dyDescent="0.3">
      <c r="B313" s="270">
        <f>Fluxo_de_Caixa_Janeiro[[#This Row],[Fluxo de Caixa 2026 CTR]]</f>
        <v>0</v>
      </c>
      <c r="C313" s="45"/>
      <c r="D313" s="80"/>
      <c r="E313" s="80"/>
      <c r="F313" s="80"/>
      <c r="G313" s="80"/>
      <c r="H313" s="80"/>
      <c r="I313" s="45">
        <f>Fluxo_de_Caixa_Janeiro3459117[[#This Row],[JULHO]]</f>
        <v>0</v>
      </c>
      <c r="J313" s="80">
        <f>Fluxo_de_Caixa_Janeiro345911710[[#This Row],[AGOSTO]]</f>
        <v>0</v>
      </c>
      <c r="K313" s="80">
        <f>Fluxo_de_Caixa_Janeiro34591171012[[#This Row],[SETEMBRO]]</f>
        <v>0</v>
      </c>
      <c r="L313" s="80"/>
      <c r="M313" s="80"/>
      <c r="N313" s="134"/>
      <c r="O313" s="235">
        <f>SUM(Fluxo_de_Caixa_Janeiro310201314[[#This Row],[Janeiro]:[Dezembro]])</f>
        <v>0</v>
      </c>
      <c r="P313" s="26">
        <f t="shared" si="14"/>
        <v>0</v>
      </c>
      <c r="Q313" s="76"/>
      <c r="R313" s="32" t="str">
        <f>IF(Fluxo_de_Caixa_Janeiro310201314[[#This Row],[% ACUMULADO  3º SEMEST 2026]]&lt;=Fluxo_de_Caixa_Janeiro310201314[[#This Row],[Coluna1]],"VERDADEIRO","FALSO")</f>
        <v>VERDADEIRO</v>
      </c>
    </row>
    <row r="314" spans="2:18" ht="15.75" hidden="1" thickBot="1" x14ac:dyDescent="0.3">
      <c r="B314" s="280">
        <f>Fluxo_de_Caixa_Janeiro[[#This Row],[Fluxo de Caixa 2026 CTR]]</f>
        <v>0</v>
      </c>
      <c r="C314" s="163"/>
      <c r="D314" s="106"/>
      <c r="E314" s="106"/>
      <c r="F314" s="106"/>
      <c r="G314" s="106"/>
      <c r="H314" s="106"/>
      <c r="I314" s="163">
        <f>Fluxo_de_Caixa_Janeiro3459117[[#This Row],[JULHO]]</f>
        <v>0</v>
      </c>
      <c r="J314" s="106">
        <f>Fluxo_de_Caixa_Janeiro345911710[[#This Row],[AGOSTO]]</f>
        <v>0</v>
      </c>
      <c r="K314" s="106">
        <f>Fluxo_de_Caixa_Janeiro34591171012[[#This Row],[SETEMBRO]]</f>
        <v>0</v>
      </c>
      <c r="L314" s="106"/>
      <c r="M314" s="106"/>
      <c r="N314" s="135"/>
      <c r="O314" s="236">
        <f>SUM(Fluxo_de_Caixa_Janeiro310201314[[#This Row],[Janeiro]:[Dezembro]])</f>
        <v>0</v>
      </c>
      <c r="P314" s="148">
        <f t="shared" si="14"/>
        <v>0</v>
      </c>
      <c r="Q314" s="107"/>
      <c r="R314" s="32" t="str">
        <f>IF(Fluxo_de_Caixa_Janeiro310201314[[#This Row],[% ACUMULADO  3º SEMEST 2026]]&lt;=Fluxo_de_Caixa_Janeiro310201314[[#This Row],[Coluna1]],"VERDADEIRO","FALSO")</f>
        <v>VERDADEIRO</v>
      </c>
    </row>
    <row r="315" spans="2:18" ht="19.5" thickBot="1" x14ac:dyDescent="0.35">
      <c r="B315" s="168" t="str">
        <f>Fluxo_de_Caixa_Janeiro[[#This Row],[Fluxo de Caixa 2026 CTR]]</f>
        <v>5.3. INVESTIMENTO EM IMOBILIZADOS</v>
      </c>
      <c r="C315" s="158"/>
      <c r="D315" s="97"/>
      <c r="E315" s="97"/>
      <c r="F315" s="97"/>
      <c r="G315" s="97"/>
      <c r="H315" s="97"/>
      <c r="I315" s="158">
        <f>Fluxo_de_Caixa_Janeiro3459117[[#This Row],[JULHO]]</f>
        <v>0</v>
      </c>
      <c r="J315" s="97">
        <f>Fluxo_de_Caixa_Janeiro345911710[[#This Row],[AGOSTO]]</f>
        <v>0</v>
      </c>
      <c r="K315" s="97">
        <f>Fluxo_de_Caixa_Janeiro34591171012[[#This Row],[SETEMBRO]]</f>
        <v>0</v>
      </c>
      <c r="L315" s="97"/>
      <c r="M315" s="97"/>
      <c r="N315" s="129"/>
      <c r="O315" s="226">
        <f>SUM(Fluxo_de_Caixa_Janeiro310201314[[#This Row],[Janeiro]:[Dezembro]])</f>
        <v>0</v>
      </c>
      <c r="P315" s="144">
        <f t="shared" si="14"/>
        <v>0</v>
      </c>
      <c r="Q315" s="98"/>
      <c r="R315" s="32" t="str">
        <f>IF(Fluxo_de_Caixa_Janeiro310201314[[#This Row],[% ACUMULADO  3º SEMEST 2026]]&lt;=Fluxo_de_Caixa_Janeiro310201314[[#This Row],[Coluna1]],"VERDADEIRO","FALSO")</f>
        <v>VERDADEIRO</v>
      </c>
    </row>
    <row r="316" spans="2:18" ht="15" customHeight="1" x14ac:dyDescent="0.25">
      <c r="B316" s="279" t="str">
        <f>Fluxo_de_Caixa_Janeiro[[#This Row],[Fluxo de Caixa 2026 CTR]]</f>
        <v>5.3.01.MOVEIS E UTENSI. IMOBILIZADOS</v>
      </c>
      <c r="C316" s="162"/>
      <c r="D316" s="104"/>
      <c r="E316" s="104"/>
      <c r="F316" s="104"/>
      <c r="G316" s="104"/>
      <c r="H316" s="104"/>
      <c r="I316" s="162">
        <f>Fluxo_de_Caixa_Janeiro3459117[[#This Row],[JULHO]]</f>
        <v>0</v>
      </c>
      <c r="J316" s="104">
        <f>Fluxo_de_Caixa_Janeiro345911710[[#This Row],[AGOSTO]]</f>
        <v>0</v>
      </c>
      <c r="K316" s="104">
        <f>Fluxo_de_Caixa_Janeiro34591171012[[#This Row],[SETEMBRO]]</f>
        <v>0</v>
      </c>
      <c r="L316" s="104"/>
      <c r="M316" s="104"/>
      <c r="N316" s="133"/>
      <c r="O316" s="234">
        <f>SUM(Fluxo_de_Caixa_Janeiro310201314[[#This Row],[Janeiro]:[Dezembro]])</f>
        <v>0</v>
      </c>
      <c r="P316" s="147">
        <f t="shared" si="14"/>
        <v>0</v>
      </c>
      <c r="Q316" s="105"/>
      <c r="R316" s="32" t="str">
        <f>IF(Fluxo_de_Caixa_Janeiro310201314[[#This Row],[% ACUMULADO  3º SEMEST 2026]]&lt;=Fluxo_de_Caixa_Janeiro310201314[[#This Row],[Coluna1]],"VERDADEIRO","FALSO")</f>
        <v>VERDADEIRO</v>
      </c>
    </row>
    <row r="317" spans="2:18" ht="15" customHeight="1" x14ac:dyDescent="0.25">
      <c r="B317" s="391" t="str">
        <f>Fluxo_de_Caixa_Janeiro[[#This Row],[Fluxo de Caixa 2026 CTR]]</f>
        <v>5.3.02.MAQUINAS E EQUIPAM. IMOBILIZADOS</v>
      </c>
      <c r="C317" s="372"/>
      <c r="D317" s="374"/>
      <c r="E317" s="374"/>
      <c r="F317" s="374"/>
      <c r="G317" s="374"/>
      <c r="H317" s="374"/>
      <c r="I317" s="372">
        <f>Fluxo_de_Caixa_Janeiro3459117[[#This Row],[JULHO]]</f>
        <v>0</v>
      </c>
      <c r="J317" s="374">
        <f>Fluxo_de_Caixa_Janeiro345911710[[#This Row],[AGOSTO]]</f>
        <v>0</v>
      </c>
      <c r="K317" s="374">
        <f>Fluxo_de_Caixa_Janeiro34591171012[[#This Row],[SETEMBRO]]</f>
        <v>0</v>
      </c>
      <c r="L317" s="374"/>
      <c r="M317" s="374"/>
      <c r="N317" s="376"/>
      <c r="O317" s="234">
        <f>SUM(Fluxo_de_Caixa_Janeiro310201314[[#This Row],[Janeiro]:[Dezembro]])</f>
        <v>0</v>
      </c>
      <c r="P317" s="147">
        <f t="shared" si="14"/>
        <v>0</v>
      </c>
      <c r="Q317" s="105"/>
      <c r="R317" s="32"/>
    </row>
    <row r="318" spans="2:18" ht="15" customHeight="1" x14ac:dyDescent="0.25">
      <c r="B318" s="391" t="str">
        <f>Fluxo_de_Caixa_Janeiro[[#This Row],[Fluxo de Caixa 2026 CTR]]</f>
        <v>5.3.03.EQUIP. INFORMATICA IMOBILIZADOS</v>
      </c>
      <c r="C318" s="379"/>
      <c r="D318" s="381"/>
      <c r="E318" s="381"/>
      <c r="F318" s="381"/>
      <c r="G318" s="381"/>
      <c r="H318" s="381"/>
      <c r="I318" s="379">
        <f>Fluxo_de_Caixa_Janeiro3459117[[#This Row],[JULHO]]</f>
        <v>0</v>
      </c>
      <c r="J318" s="381">
        <f>Fluxo_de_Caixa_Janeiro345911710[[#This Row],[AGOSTO]]</f>
        <v>0</v>
      </c>
      <c r="K318" s="381">
        <f>Fluxo_de_Caixa_Janeiro34591171012[[#This Row],[SETEMBRO]]</f>
        <v>0</v>
      </c>
      <c r="L318" s="381"/>
      <c r="M318" s="381"/>
      <c r="N318" s="383"/>
      <c r="O318" s="234">
        <f>SUM(Fluxo_de_Caixa_Janeiro310201314[[#This Row],[Janeiro]:[Dezembro]])</f>
        <v>0</v>
      </c>
      <c r="P318" s="147">
        <f t="shared" si="14"/>
        <v>0</v>
      </c>
      <c r="Q318" s="105"/>
      <c r="R318" s="32"/>
    </row>
    <row r="319" spans="2:18" ht="15" customHeight="1" x14ac:dyDescent="0.25">
      <c r="B319" s="391" t="str">
        <f>Fluxo_de_Caixa_Janeiro[[#This Row],[Fluxo de Caixa 2026 CTR]]</f>
        <v>5.3.05.AQUISICAO DE VEICU PESADO-IMOB</v>
      </c>
      <c r="C319" s="379"/>
      <c r="D319" s="381"/>
      <c r="E319" s="381"/>
      <c r="F319" s="381"/>
      <c r="G319" s="381"/>
      <c r="H319" s="381"/>
      <c r="I319" s="379">
        <f>Fluxo_de_Caixa_Janeiro3459117[[#This Row],[JULHO]]</f>
        <v>0</v>
      </c>
      <c r="J319" s="381">
        <f>Fluxo_de_Caixa_Janeiro345911710[[#This Row],[AGOSTO]]</f>
        <v>0</v>
      </c>
      <c r="K319" s="381">
        <f>Fluxo_de_Caixa_Janeiro34591171012[[#This Row],[SETEMBRO]]</f>
        <v>0</v>
      </c>
      <c r="L319" s="381"/>
      <c r="M319" s="381"/>
      <c r="N319" s="383"/>
      <c r="O319" s="234">
        <f>SUM(Fluxo_de_Caixa_Janeiro310201314[[#This Row],[Janeiro]:[Dezembro]])</f>
        <v>0</v>
      </c>
      <c r="P319" s="147">
        <f t="shared" si="14"/>
        <v>0</v>
      </c>
      <c r="Q319" s="105"/>
      <c r="R319" s="32"/>
    </row>
    <row r="320" spans="2:18" ht="15" customHeight="1" thickBot="1" x14ac:dyDescent="0.3">
      <c r="B320" s="391" t="str">
        <f>Fluxo_de_Caixa_Janeiro[[#This Row],[Fluxo de Caixa 2026 CTR]]</f>
        <v>5.3.06.AQUISICAO DE OUTROS VEICUL-IMOB</v>
      </c>
      <c r="C320" s="379"/>
      <c r="D320" s="381"/>
      <c r="E320" s="381"/>
      <c r="F320" s="381"/>
      <c r="G320" s="381"/>
      <c r="H320" s="381"/>
      <c r="I320" s="379">
        <f>Fluxo_de_Caixa_Janeiro3459117[[#This Row],[JULHO]]</f>
        <v>0</v>
      </c>
      <c r="J320" s="381">
        <f>Fluxo_de_Caixa_Janeiro345911710[[#This Row],[AGOSTO]]</f>
        <v>0</v>
      </c>
      <c r="K320" s="381">
        <f>Fluxo_de_Caixa_Janeiro34591171012[[#This Row],[SETEMBRO]]</f>
        <v>0</v>
      </c>
      <c r="L320" s="381"/>
      <c r="M320" s="381"/>
      <c r="N320" s="383"/>
      <c r="O320" s="234">
        <f>SUM(Fluxo_de_Caixa_Janeiro310201314[[#This Row],[Janeiro]:[Dezembro]])</f>
        <v>0</v>
      </c>
      <c r="P320" s="147">
        <f t="shared" si="14"/>
        <v>0</v>
      </c>
      <c r="Q320" s="105"/>
      <c r="R320" s="32"/>
    </row>
    <row r="321" spans="2:221" ht="15" hidden="1" customHeight="1" thickBot="1" x14ac:dyDescent="0.3">
      <c r="B321" s="391">
        <f>Fluxo_de_Caixa_Janeiro[[#This Row],[Fluxo de Caixa 2026 CTR]]</f>
        <v>0</v>
      </c>
      <c r="C321" s="379"/>
      <c r="D321" s="381"/>
      <c r="E321" s="381"/>
      <c r="F321" s="381"/>
      <c r="G321" s="381"/>
      <c r="H321" s="381"/>
      <c r="I321" s="379">
        <f>Fluxo_de_Caixa_Janeiro3459117[[#This Row],[JULHO]]</f>
        <v>0</v>
      </c>
      <c r="J321" s="381">
        <f>Fluxo_de_Caixa_Janeiro345911710[[#This Row],[AGOSTO]]</f>
        <v>0</v>
      </c>
      <c r="K321" s="381">
        <f>Fluxo_de_Caixa_Janeiro34591171012[[#This Row],[SETEMBRO]]</f>
        <v>0</v>
      </c>
      <c r="L321" s="381"/>
      <c r="M321" s="381"/>
      <c r="N321" s="383"/>
      <c r="O321" s="234">
        <f>SUM(Fluxo_de_Caixa_Janeiro310201314[[#This Row],[Janeiro]:[Dezembro]])</f>
        <v>0</v>
      </c>
      <c r="P321" s="147">
        <f t="shared" si="14"/>
        <v>0</v>
      </c>
      <c r="Q321" s="105"/>
      <c r="R321" s="32"/>
    </row>
    <row r="322" spans="2:221" ht="19.5" thickBot="1" x14ac:dyDescent="0.35">
      <c r="B322" s="168" t="str">
        <f>Fluxo_de_Caixa_Janeiro[[#This Row],[Fluxo de Caixa 2026 CTR]]</f>
        <v>5.4. DISTRIBUIÇÃO DE LUCROS E RESULTADOS</v>
      </c>
      <c r="C322" s="158"/>
      <c r="D322" s="97"/>
      <c r="E322" s="97"/>
      <c r="F322" s="97"/>
      <c r="G322" s="97"/>
      <c r="H322" s="97"/>
      <c r="I322" s="158">
        <f>Fluxo_de_Caixa_Janeiro3459117[[#This Row],[JULHO]]</f>
        <v>0</v>
      </c>
      <c r="J322" s="97">
        <f>Fluxo_de_Caixa_Janeiro345911710[[#This Row],[AGOSTO]]</f>
        <v>0</v>
      </c>
      <c r="K322" s="97">
        <f>Fluxo_de_Caixa_Janeiro34591171012[[#This Row],[SETEMBRO]]</f>
        <v>0</v>
      </c>
      <c r="L322" s="97"/>
      <c r="M322" s="97"/>
      <c r="N322" s="129"/>
      <c r="O322" s="226">
        <f>SUM(Fluxo_de_Caixa_Janeiro310201314[[#This Row],[Janeiro]:[Dezembro]])</f>
        <v>0</v>
      </c>
      <c r="P322" s="144">
        <f t="shared" si="14"/>
        <v>0</v>
      </c>
      <c r="Q322" s="98"/>
      <c r="R322" s="32"/>
    </row>
    <row r="323" spans="2:221" ht="15" customHeight="1" x14ac:dyDescent="0.25">
      <c r="B323" s="391" t="str">
        <f>Fluxo_de_Caixa_Janeiro[[#This Row],[Fluxo de Caixa 2026 CTR]]</f>
        <v>5.4.01.DISTRIBUICAO DE LUCROS SOCIOS</v>
      </c>
      <c r="C323" s="380"/>
      <c r="D323" s="382"/>
      <c r="E323" s="382"/>
      <c r="F323" s="382"/>
      <c r="G323" s="382"/>
      <c r="H323" s="382"/>
      <c r="I323" s="380">
        <f>Fluxo_de_Caixa_Janeiro3459117[[#This Row],[JULHO]]</f>
        <v>0</v>
      </c>
      <c r="J323" s="382">
        <f>Fluxo_de_Caixa_Janeiro345911710[[#This Row],[AGOSTO]]</f>
        <v>0</v>
      </c>
      <c r="K323" s="382">
        <f>Fluxo_de_Caixa_Janeiro34591171012[[#This Row],[SETEMBRO]]</f>
        <v>0</v>
      </c>
      <c r="L323" s="382"/>
      <c r="M323" s="382"/>
      <c r="N323" s="384"/>
      <c r="O323" s="235">
        <f>SUM(Fluxo_de_Caixa_Janeiro310201314[[#This Row],[Janeiro]:[Dezembro]])</f>
        <v>0</v>
      </c>
      <c r="P323" s="26">
        <f t="shared" si="14"/>
        <v>0</v>
      </c>
      <c r="Q323" s="76"/>
      <c r="R323" s="32"/>
    </row>
    <row r="324" spans="2:221" ht="15" customHeight="1" x14ac:dyDescent="0.25">
      <c r="B324" s="270" t="str">
        <f>Fluxo_de_Caixa_Janeiro[[#This Row],[Fluxo de Caixa 2026 CTR]]</f>
        <v>5.4.02.COMBUST E LUBRIFICANT - DIRETORIA</v>
      </c>
      <c r="C324" s="45"/>
      <c r="D324" s="80"/>
      <c r="E324" s="80"/>
      <c r="F324" s="80"/>
      <c r="G324" s="80"/>
      <c r="H324" s="80"/>
      <c r="I324" s="45">
        <f>Fluxo_de_Caixa_Janeiro3459117[[#This Row],[JULHO]]</f>
        <v>0</v>
      </c>
      <c r="J324" s="80">
        <f>Fluxo_de_Caixa_Janeiro345911710[[#This Row],[AGOSTO]]</f>
        <v>0</v>
      </c>
      <c r="K324" s="80">
        <f>Fluxo_de_Caixa_Janeiro34591171012[[#This Row],[SETEMBRO]]</f>
        <v>0</v>
      </c>
      <c r="L324" s="80"/>
      <c r="M324" s="80"/>
      <c r="N324" s="134"/>
      <c r="O324" s="235">
        <f>SUM(Fluxo_de_Caixa_Janeiro310201314[[#This Row],[Janeiro]:[Dezembro]])</f>
        <v>0</v>
      </c>
      <c r="P324" s="26">
        <f t="shared" si="14"/>
        <v>0</v>
      </c>
      <c r="Q324" s="76"/>
      <c r="R324" s="32" t="str">
        <f>IF(Fluxo_de_Caixa_Janeiro310201314[[#This Row],[% ACUMULADO  3º SEMEST 2026]]&lt;=Fluxo_de_Caixa_Janeiro310201314[[#This Row],[Coluna1]],"VERDADEIRO","FALSO")</f>
        <v>VERDADEIRO</v>
      </c>
    </row>
    <row r="325" spans="2:221" ht="15" customHeight="1" x14ac:dyDescent="0.25">
      <c r="B325" s="270" t="str">
        <f>Fluxo_de_Caixa_Janeiro[[#This Row],[Fluxo de Caixa 2026 CTR]]</f>
        <v>5.4.03.VIAGENS E ESTADAS - DIRETORIA</v>
      </c>
      <c r="C325" s="45"/>
      <c r="D325" s="80"/>
      <c r="E325" s="80"/>
      <c r="F325" s="80"/>
      <c r="G325" s="80"/>
      <c r="H325" s="80"/>
      <c r="I325" s="45">
        <f>Fluxo_de_Caixa_Janeiro3459117[[#This Row],[JULHO]]</f>
        <v>0</v>
      </c>
      <c r="J325" s="80">
        <f>Fluxo_de_Caixa_Janeiro345911710[[#This Row],[AGOSTO]]</f>
        <v>0</v>
      </c>
      <c r="K325" s="80">
        <f>Fluxo_de_Caixa_Janeiro34591171012[[#This Row],[SETEMBRO]]</f>
        <v>0</v>
      </c>
      <c r="L325" s="80"/>
      <c r="M325" s="80"/>
      <c r="N325" s="134"/>
      <c r="O325" s="235">
        <f>SUM(Fluxo_de_Caixa_Janeiro310201314[[#This Row],[Janeiro]:[Dezembro]])</f>
        <v>0</v>
      </c>
      <c r="P325" s="26">
        <f t="shared" si="14"/>
        <v>0</v>
      </c>
      <c r="Q325" s="76"/>
      <c r="R325" s="32" t="str">
        <f>IF(Fluxo_de_Caixa_Janeiro310201314[[#This Row],[% ACUMULADO  3º SEMEST 2026]]&lt;=Fluxo_de_Caixa_Janeiro310201314[[#This Row],[Coluna1]],"VERDADEIRO","FALSO")</f>
        <v>VERDADEIRO</v>
      </c>
    </row>
    <row r="326" spans="2:221" ht="15" customHeight="1" thickBot="1" x14ac:dyDescent="0.3">
      <c r="B326" s="270" t="str">
        <f>Fluxo_de_Caixa_Janeiro[[#This Row],[Fluxo de Caixa 2026 CTR]]</f>
        <v>5.4.04.DISTRIBUIÇÃO DE LUCROS E RESULTADOS</v>
      </c>
      <c r="C326" s="45"/>
      <c r="D326" s="80"/>
      <c r="E326" s="80"/>
      <c r="F326" s="80"/>
      <c r="G326" s="80"/>
      <c r="H326" s="80"/>
      <c r="I326" s="45">
        <f>Fluxo_de_Caixa_Janeiro3459117[[#This Row],[JULHO]]</f>
        <v>0</v>
      </c>
      <c r="J326" s="80">
        <f>Fluxo_de_Caixa_Janeiro345911710[[#This Row],[AGOSTO]]</f>
        <v>0</v>
      </c>
      <c r="K326" s="80">
        <f>Fluxo_de_Caixa_Janeiro34591171012[[#This Row],[SETEMBRO]]</f>
        <v>0</v>
      </c>
      <c r="L326" s="80"/>
      <c r="M326" s="80"/>
      <c r="N326" s="134"/>
      <c r="O326" s="235">
        <f>SUM(Fluxo_de_Caixa_Janeiro310201314[[#This Row],[Janeiro]:[Dezembro]])</f>
        <v>0</v>
      </c>
      <c r="P326" s="26" t="str">
        <f>IFERROR(O326/$C$332,"0,00%")</f>
        <v>0,00%</v>
      </c>
      <c r="Q326" s="76"/>
      <c r="R326" s="32" t="str">
        <f>IF(Fluxo_de_Caixa_Janeiro310201314[[#This Row],[% ACUMULADO  3º SEMEST 2026]]&lt;=Fluxo_de_Caixa_Janeiro310201314[[#This Row],[Coluna1]],"VERDADEIRO","FALSO")</f>
        <v>FALSO</v>
      </c>
    </row>
    <row r="327" spans="2:221" ht="15" hidden="1" customHeight="1" x14ac:dyDescent="0.25">
      <c r="B327" s="270">
        <f>Fluxo_de_Caixa_Janeiro[[#This Row],[Fluxo de Caixa 2026 CTR]]</f>
        <v>0</v>
      </c>
      <c r="C327" s="45"/>
      <c r="D327" s="80"/>
      <c r="E327" s="80"/>
      <c r="F327" s="80"/>
      <c r="G327" s="80"/>
      <c r="H327" s="80"/>
      <c r="I327" s="45">
        <f>Fluxo_de_Caixa_Janeiro3459117[[#This Row],[JULHO]]</f>
        <v>0</v>
      </c>
      <c r="J327" s="80">
        <f>Fluxo_de_Caixa_Janeiro345911710[[#This Row],[AGOSTO]]</f>
        <v>0</v>
      </c>
      <c r="K327" s="80">
        <f>Fluxo_de_Caixa_Janeiro34591171012[[#This Row],[SETEMBRO]]</f>
        <v>0</v>
      </c>
      <c r="L327" s="80"/>
      <c r="M327" s="80"/>
      <c r="N327" s="134"/>
      <c r="O327" s="235">
        <f>SUM(Fluxo_de_Caixa_Janeiro310201314[[#This Row],[Janeiro]:[Dezembro]])</f>
        <v>0</v>
      </c>
      <c r="P327" s="26" t="str">
        <f>IFERROR(O327/$C$332,"0,00%")</f>
        <v>0,00%</v>
      </c>
      <c r="Q327" s="76"/>
      <c r="R327" s="32" t="str">
        <f>IF(Fluxo_de_Caixa_Janeiro310201314[[#This Row],[% ACUMULADO  3º SEMEST 2026]]&lt;=Fluxo_de_Caixa_Janeiro310201314[[#This Row],[Coluna1]],"VERDADEIRO","FALSO")</f>
        <v>FALSO</v>
      </c>
    </row>
    <row r="328" spans="2:221" ht="15" hidden="1" customHeight="1" thickBot="1" x14ac:dyDescent="0.3">
      <c r="B328" s="270">
        <f>Fluxo_de_Caixa_Janeiro[[#This Row],[Fluxo de Caixa 2026 CTR]]</f>
        <v>0</v>
      </c>
      <c r="C328" s="45"/>
      <c r="D328" s="80"/>
      <c r="E328" s="80"/>
      <c r="F328" s="80"/>
      <c r="G328" s="80"/>
      <c r="H328" s="80"/>
      <c r="I328" s="45">
        <f>Fluxo_de_Caixa_Janeiro3459117[[#This Row],[JULHO]]</f>
        <v>0</v>
      </c>
      <c r="J328" s="80">
        <f>Fluxo_de_Caixa_Janeiro345911710[[#This Row],[AGOSTO]]</f>
        <v>0</v>
      </c>
      <c r="K328" s="80">
        <f>Fluxo_de_Caixa_Janeiro34591171012[[#This Row],[SETEMBRO]]</f>
        <v>0</v>
      </c>
      <c r="L328" s="80"/>
      <c r="M328" s="80"/>
      <c r="N328" s="134"/>
      <c r="O328" s="235">
        <f>SUM(Fluxo_de_Caixa_Janeiro310201314[[#This Row],[Janeiro]:[Dezembro]])</f>
        <v>0</v>
      </c>
      <c r="P328" s="26" t="str">
        <f>IFERROR(O328/$C$332,"0,00%")</f>
        <v>0,00%</v>
      </c>
      <c r="Q328" s="76"/>
      <c r="R328" s="32" t="str">
        <f>IF(Fluxo_de_Caixa_Janeiro310201314[[#This Row],[% ACUMULADO  3º SEMEST 2026]]&lt;=Fluxo_de_Caixa_Janeiro310201314[[#This Row],[Coluna1]],"VERDADEIRO","FALSO")</f>
        <v>FALSO</v>
      </c>
    </row>
    <row r="329" spans="2:221" ht="15" hidden="1" customHeight="1" thickBot="1" x14ac:dyDescent="0.3">
      <c r="B329" s="280">
        <f>Fluxo_de_Caixa_Janeiro[[#This Row],[Fluxo de Caixa 2026 CTR]]</f>
        <v>0</v>
      </c>
      <c r="C329" s="163"/>
      <c r="D329" s="106"/>
      <c r="E329" s="106"/>
      <c r="F329" s="106"/>
      <c r="G329" s="106"/>
      <c r="H329" s="135"/>
      <c r="I329" s="106">
        <f>Fluxo_de_Caixa_Janeiro3459117[[#This Row],[JULHO]]</f>
        <v>0</v>
      </c>
      <c r="J329" s="106">
        <f>Fluxo_de_Caixa_Janeiro345911710[[#This Row],[AGOSTO]]</f>
        <v>0</v>
      </c>
      <c r="K329" s="106">
        <f>Fluxo_de_Caixa_Janeiro34591171012[[#This Row],[SETEMBRO]]</f>
        <v>0</v>
      </c>
      <c r="L329" s="106"/>
      <c r="M329" s="106"/>
      <c r="N329" s="135"/>
      <c r="O329" s="236">
        <f>SUM(Fluxo_de_Caixa_Janeiro310201314[[#This Row],[Janeiro]:[Dezembro]])</f>
        <v>0</v>
      </c>
      <c r="P329" s="148" t="str">
        <f>IFERROR(O329/$C$332,"0,00%")</f>
        <v>0,00%</v>
      </c>
      <c r="Q329" s="107"/>
      <c r="R329" s="32" t="str">
        <f>IF(Fluxo_de_Caixa_Janeiro310201314[[#This Row],[% ACUMULADO  3º SEMEST 2026]]&lt;=Fluxo_de_Caixa_Janeiro310201314[[#This Row],[Coluna1]],"VERDADEIRO","FALSO")</f>
        <v>FALSO</v>
      </c>
    </row>
    <row r="330" spans="2:221" s="4" customFormat="1" ht="24" thickBot="1" x14ac:dyDescent="0.4">
      <c r="B330" s="281" t="str">
        <f>Fluxo_de_Caixa_Janeiro[[#This Row],[Fluxo de Caixa 2026 CTR]]</f>
        <v>Total das Despesas Não Operacional</v>
      </c>
      <c r="C330" s="177"/>
      <c r="D330" s="184"/>
      <c r="E330" s="184"/>
      <c r="F330" s="184"/>
      <c r="G330" s="184"/>
      <c r="H330" s="291"/>
      <c r="I330" s="299">
        <f>Fluxo_de_Caixa_Janeiro3459117[[#This Row],[JULHO]]</f>
        <v>0</v>
      </c>
      <c r="J330" s="184">
        <f>Fluxo_de_Caixa_Janeiro345911710[[#This Row],[AGOSTO]]</f>
        <v>0</v>
      </c>
      <c r="K330" s="184">
        <f>Fluxo_de_Caixa_Janeiro34591171012[[#This Row],[SETEMBRO]]</f>
        <v>0</v>
      </c>
      <c r="L330" s="184"/>
      <c r="M330" s="184"/>
      <c r="N330" s="184"/>
      <c r="O330" s="227">
        <f>SUM(Fluxo_de_Caixa_Janeiro310201314[[#This Row],[Janeiro]:[Dezembro]])</f>
        <v>0</v>
      </c>
      <c r="P330" s="149" t="str">
        <f>IFERROR(O330/(O27+O238),"0,00%")</f>
        <v>0,00%</v>
      </c>
      <c r="Q330" s="109"/>
      <c r="R330" s="32" t="str">
        <f>IF(Fluxo_de_Caixa_Janeiro310201314[[#This Row],[% ACUMULADO  3º SEMEST 2026]]&gt;=Fluxo_de_Caixa_Janeiro310201314[[#This Row],[Coluna1]],"VERDADEIRO","FALSO")</f>
        <v>VERDADEIRO</v>
      </c>
      <c r="S330" s="1"/>
      <c r="T330" s="248"/>
      <c r="U330" s="1"/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35">
      <c r="B331" s="173" t="str">
        <f>Fluxo_de_Caixa_Janeiro[[#This Row],[Fluxo de Caixa 2026 CTR]]</f>
        <v>Saldo Inicial Conta Movimento</v>
      </c>
      <c r="C331" s="178"/>
      <c r="D331" s="185"/>
      <c r="E331" s="185"/>
      <c r="F331" s="185"/>
      <c r="G331" s="185"/>
      <c r="H331" s="292"/>
      <c r="I331" s="300">
        <f>Fluxo_de_Caixa_Janeiro3459117[[#This Row],[JULHO]]</f>
        <v>0</v>
      </c>
      <c r="J331" s="185">
        <f>Fluxo_de_Caixa_Janeiro345911710[[#This Row],[AGOSTO]]</f>
        <v>0</v>
      </c>
      <c r="K331" s="185">
        <f>Fluxo_de_Caixa_Janeiro34591171012[[#This Row],[SETEMBRO]]</f>
        <v>0</v>
      </c>
      <c r="L331" s="185"/>
      <c r="M331" s="185"/>
      <c r="N331" s="185"/>
      <c r="O331" s="237">
        <f>Fluxo_de_Caixa_Janeiro310201314[[#This Row],[Julho]]</f>
        <v>0</v>
      </c>
      <c r="P331" s="150"/>
      <c r="Q331" s="108"/>
      <c r="R331" s="32"/>
      <c r="S331" s="1"/>
      <c r="T331" s="1"/>
      <c r="U331" s="1"/>
      <c r="V331" s="1"/>
      <c r="W331" s="1"/>
      <c r="X331" s="1"/>
      <c r="Y331" s="1"/>
    </row>
    <row r="332" spans="2:221" ht="19.149999999999999" customHeight="1" thickBot="1" x14ac:dyDescent="0.35">
      <c r="B332" s="282" t="str">
        <f>Fluxo_de_Caixa_Janeiro[[#This Row],[Fluxo de Caixa 2026 CTR]]</f>
        <v>Total Receitas Operac. e Não Operac.</v>
      </c>
      <c r="C332" s="179"/>
      <c r="D332" s="186"/>
      <c r="E332" s="186"/>
      <c r="F332" s="186"/>
      <c r="G332" s="186"/>
      <c r="H332" s="293"/>
      <c r="I332" s="301">
        <f>Fluxo_de_Caixa_Janeiro3459117[[#This Row],[JULHO]]</f>
        <v>0</v>
      </c>
      <c r="J332" s="186">
        <f>Fluxo_de_Caixa_Janeiro345911710[[#This Row],[AGOSTO]]</f>
        <v>0</v>
      </c>
      <c r="K332" s="186">
        <f>Fluxo_de_Caixa_Janeiro34591171012[[#This Row],[SETEMBRO]]</f>
        <v>0</v>
      </c>
      <c r="L332" s="186"/>
      <c r="M332" s="186"/>
      <c r="N332" s="186"/>
      <c r="O332" s="238">
        <f>SUM(Fluxo_de_Caixa_Janeiro310201314[[#This Row],[Janeiro]:[Dezembro]])</f>
        <v>0</v>
      </c>
      <c r="P332" s="151">
        <f>SUM(P27,P238)</f>
        <v>0</v>
      </c>
      <c r="Q332" s="111"/>
      <c r="R332" s="32"/>
      <c r="S332" s="1"/>
      <c r="T332" s="1"/>
      <c r="U332" s="1"/>
      <c r="V332" s="1"/>
      <c r="W332" s="1"/>
      <c r="X332" s="1"/>
      <c r="Y332" s="1"/>
    </row>
    <row r="333" spans="2:221" s="5" customFormat="1" ht="27" customHeight="1" thickBot="1" x14ac:dyDescent="0.35">
      <c r="B333" s="283" t="str">
        <f>Fluxo_de_Caixa_Janeiro[[#This Row],[Fluxo de Caixa 2026 CTR]]</f>
        <v>Total Despesas Operac. e Não Operac.</v>
      </c>
      <c r="C333" s="180"/>
      <c r="D333" s="187"/>
      <c r="E333" s="187"/>
      <c r="F333" s="187"/>
      <c r="G333" s="187"/>
      <c r="H333" s="294"/>
      <c r="I333" s="302">
        <f>Fluxo_de_Caixa_Janeiro3459117[[#This Row],[JULHO]]</f>
        <v>0</v>
      </c>
      <c r="J333" s="187">
        <f>Fluxo_de_Caixa_Janeiro345911710[[#This Row],[AGOSTO]]</f>
        <v>0</v>
      </c>
      <c r="K333" s="187">
        <f>Fluxo_de_Caixa_Janeiro34591171012[[#This Row],[SETEMBRO]]</f>
        <v>0</v>
      </c>
      <c r="L333" s="187"/>
      <c r="M333" s="187"/>
      <c r="N333" s="187"/>
      <c r="O333" s="239">
        <f>SUM(Fluxo_de_Caixa_Janeiro310201314[[#This Row],[Janeiro]:[Dezembro]])</f>
        <v>0</v>
      </c>
      <c r="P333" s="152" t="str">
        <f>IFERROR(O333/O332,"0,00%")</f>
        <v>0,00%</v>
      </c>
      <c r="Q333" s="110"/>
      <c r="R333" s="32" t="str">
        <f>IF(Fluxo_de_Caixa_Janeiro310201314[[#This Row],[% ACUMULADO  3º SEMEST 2026]]&gt;=Fluxo_de_Caixa_Janeiro310201314[[#This Row],[Coluna1]],"VERDADEIRO","FALSO")</f>
        <v>VERDADEIRO</v>
      </c>
      <c r="S333" s="8"/>
      <c r="T333" s="8"/>
      <c r="U333" s="8"/>
      <c r="V333" s="8"/>
      <c r="W333" s="8"/>
      <c r="X333" s="8"/>
      <c r="Y333" s="8"/>
    </row>
    <row r="334" spans="2:221" ht="21.75" thickBot="1" x14ac:dyDescent="0.3">
      <c r="B334" s="271" t="str">
        <f>Fluxo_de_Caixa_Janeiro[[#This Row],[Fluxo de Caixa 2026 CTR]]</f>
        <v xml:space="preserve">Saldo Liquido Final  </v>
      </c>
      <c r="C334" s="181"/>
      <c r="D334" s="188"/>
      <c r="E334" s="188"/>
      <c r="F334" s="188"/>
      <c r="G334" s="188"/>
      <c r="H334" s="295"/>
      <c r="I334" s="303">
        <f>Fluxo_de_Caixa_Janeiro3459117[[#This Row],[JULHO]]</f>
        <v>0</v>
      </c>
      <c r="J334" s="188">
        <f>Fluxo_de_Caixa_Janeiro345911710[[#This Row],[AGOSTO]]</f>
        <v>0</v>
      </c>
      <c r="K334" s="188">
        <f>Fluxo_de_Caixa_Janeiro34591171012[[#This Row],[SETEMBRO]]</f>
        <v>0</v>
      </c>
      <c r="L334" s="188"/>
      <c r="M334" s="188"/>
      <c r="N334" s="188"/>
      <c r="O334" s="240">
        <f>SUM(Fluxo_de_Caixa_Janeiro310201314[[#This Row],[Janeiro]:[Dezembro]])</f>
        <v>0</v>
      </c>
      <c r="P334" s="27" t="str">
        <f>IFERROR(O334/O332,"0,00%")</f>
        <v>0,00%</v>
      </c>
      <c r="Q334" s="77"/>
      <c r="R334" s="32" t="str">
        <f>IF(Fluxo_de_Caixa_Janeiro310201314[[#This Row],[% ACUMULADO  3º SEMEST 2026]]&gt;=Fluxo_de_Caixa_Janeiro310201314[[#This Row],[Coluna1]],"VERDADEIRO","FALSO")</f>
        <v>VERDADEIRO</v>
      </c>
      <c r="S334" s="1"/>
      <c r="T334" s="1"/>
      <c r="U334" s="1"/>
      <c r="V334" s="1"/>
      <c r="W334" s="1"/>
      <c r="X334" s="1"/>
      <c r="Y334" s="1"/>
    </row>
    <row r="335" spans="2:221" ht="27" thickBot="1" x14ac:dyDescent="0.45">
      <c r="B335" s="174" t="str">
        <f>Fluxo_de_Caixa_Janeiro[[#This Row],[Fluxo de Caixa 2026 CTR]]</f>
        <v xml:space="preserve">Saldo Liquido Ajustado  </v>
      </c>
      <c r="C335" s="182"/>
      <c r="D335" s="189"/>
      <c r="E335" s="189"/>
      <c r="F335" s="189"/>
      <c r="G335" s="189"/>
      <c r="H335" s="296"/>
      <c r="I335" s="304">
        <f>Fluxo_de_Caixa_Janeiro3459117[[#This Row],[JULHO]]</f>
        <v>0</v>
      </c>
      <c r="J335" s="189">
        <f>Fluxo_de_Caixa_Janeiro345911710[[#This Row],[AGOSTO]]</f>
        <v>0</v>
      </c>
      <c r="K335" s="189">
        <f>Fluxo_de_Caixa_Janeiro34591171012[[#This Row],[SETEMBRO]]</f>
        <v>0</v>
      </c>
      <c r="L335" s="189"/>
      <c r="M335" s="189"/>
      <c r="N335" s="189"/>
      <c r="O335" s="241">
        <f>SUM(O332,O331,O333)</f>
        <v>0</v>
      </c>
      <c r="P335" s="153" t="str">
        <f>IFERROR(O335/(O332+O331),"0,00%")</f>
        <v>0,00%</v>
      </c>
      <c r="Q335" s="112"/>
      <c r="R335" s="32" t="str">
        <f>IF(Fluxo_de_Caixa_Janeiro310201314[[#This Row],[% ACUMULADO  3º SEMEST 2026]]&gt;=Fluxo_de_Caixa_Janeiro310201314[[#This Row],[Coluna1]],"VERDADEIRO","FALSO")</f>
        <v>VERDADEIRO</v>
      </c>
    </row>
    <row r="336" spans="2:221" ht="24" thickBot="1" x14ac:dyDescent="0.4">
      <c r="B336" s="175" t="str">
        <f>Fluxo_de_Caixa_Janeiro[[#This Row],[Fluxo de Caixa 2026 CTR]]</f>
        <v>Disponíveis nas Contas Movimento</v>
      </c>
      <c r="C336" s="183"/>
      <c r="D336" s="190"/>
      <c r="E336" s="190"/>
      <c r="F336" s="190"/>
      <c r="G336" s="190"/>
      <c r="H336" s="297"/>
      <c r="I336" s="305">
        <f>Fluxo_de_Caixa_Janeiro3459117[[#This Row],[JULHO]]</f>
        <v>0</v>
      </c>
      <c r="J336" s="190">
        <f>Fluxo_de_Caixa_Janeiro345911710[[#This Row],[AGOSTO]]</f>
        <v>0</v>
      </c>
      <c r="K336" s="190">
        <f>Fluxo_de_Caixa_Janeiro34591171012[[#This Row],[SETEMBRO]]</f>
        <v>0</v>
      </c>
      <c r="L336" s="190"/>
      <c r="M336" s="190"/>
      <c r="N336" s="190"/>
      <c r="O336" s="242">
        <f>SUM(O337:O346)</f>
        <v>0</v>
      </c>
      <c r="P336" s="254">
        <f>SUM(P337:P351)</f>
        <v>0</v>
      </c>
      <c r="Q336" s="114"/>
      <c r="R336" s="34"/>
      <c r="T336" s="404">
        <f>Fluxo_de_Caixa_Janeiro310201314[[#This Row],[Março]]-C331</f>
        <v>0</v>
      </c>
    </row>
    <row r="337" spans="2:18" x14ac:dyDescent="0.25">
      <c r="B337" s="47" t="str">
        <f>Fluxo_de_Caixa_Janeiro[[#This Row],[Fluxo de Caixa 2026 CTR]]</f>
        <v>1.0 - TESOURARIA MATRIZ PALMAS</v>
      </c>
      <c r="C337" s="41"/>
      <c r="D337" s="81"/>
      <c r="E337" s="81"/>
      <c r="F337" s="81"/>
      <c r="G337" s="81"/>
      <c r="H337" s="118"/>
      <c r="I337" s="81">
        <f>Fluxo_de_Caixa_Janeiro3459117[[#This Row],[JULHO]]</f>
        <v>0</v>
      </c>
      <c r="J337" s="81">
        <f>Fluxo_de_Caixa_Janeiro345911710[[#This Row],[AGOSTO]]</f>
        <v>0</v>
      </c>
      <c r="K337" s="81">
        <f>Fluxo_de_Caixa_Janeiro34591171012[[#This Row],[SETEMBRO]]</f>
        <v>0</v>
      </c>
      <c r="L337" s="81"/>
      <c r="M337" s="81"/>
      <c r="N337" s="118"/>
      <c r="O337" s="243">
        <f>Fluxo_de_Caixa_Janeiro310201314[[#This Row],[Setembro]]</f>
        <v>0</v>
      </c>
      <c r="P337" s="28" t="str">
        <f t="shared" ref="P337:P361" si="15">IFERROR(O337/$O$336,"0,00%")</f>
        <v>0,00%</v>
      </c>
      <c r="Q337" s="113"/>
      <c r="R337" s="34"/>
    </row>
    <row r="338" spans="2:18" x14ac:dyDescent="0.25">
      <c r="B338" s="47" t="str">
        <f>Fluxo_de_Caixa_Janeiro[[#This Row],[Fluxo de Caixa 2026 CTR]]</f>
        <v>1.1 - BANCO DO BRASIL C.C.60409-7 MATRIZ</v>
      </c>
      <c r="C338" s="35"/>
      <c r="D338" s="62"/>
      <c r="E338" s="62"/>
      <c r="F338" s="62"/>
      <c r="G338" s="62"/>
      <c r="H338" s="119"/>
      <c r="I338" s="62">
        <f>Fluxo_de_Caixa_Janeiro3459117[[#This Row],[JULHO]]</f>
        <v>0</v>
      </c>
      <c r="J338" s="62">
        <f>Fluxo_de_Caixa_Janeiro345911710[[#This Row],[AGOSTO]]</f>
        <v>0</v>
      </c>
      <c r="K338" s="62">
        <f>Fluxo_de_Caixa_Janeiro34591171012[[#This Row],[SETEMBRO]]</f>
        <v>0</v>
      </c>
      <c r="L338" s="62"/>
      <c r="M338" s="62"/>
      <c r="N338" s="119"/>
      <c r="O338" s="243">
        <f>Fluxo_de_Caixa_Janeiro310201314[[#This Row],[Setembro]]</f>
        <v>0</v>
      </c>
      <c r="P338" s="138" t="str">
        <f t="shared" si="15"/>
        <v>0,00%</v>
      </c>
      <c r="Q338" s="78"/>
      <c r="R338" s="34"/>
    </row>
    <row r="339" spans="2:18" x14ac:dyDescent="0.25">
      <c r="B339" s="47">
        <f>Fluxo_de_Caixa_Janeiro[[#This Row],[Fluxo de Caixa 2026 CTR]]</f>
        <v>0</v>
      </c>
      <c r="C339" s="35"/>
      <c r="D339" s="62"/>
      <c r="E339" s="62"/>
      <c r="F339" s="62"/>
      <c r="G339" s="62"/>
      <c r="H339" s="119"/>
      <c r="I339" s="62">
        <f>Fluxo_de_Caixa_Janeiro3459117[[#This Row],[JULHO]]</f>
        <v>0</v>
      </c>
      <c r="J339" s="62">
        <f>Fluxo_de_Caixa_Janeiro345911710[[#This Row],[AGOSTO]]</f>
        <v>0</v>
      </c>
      <c r="K339" s="62">
        <f>Fluxo_de_Caixa_Janeiro34591171012[[#This Row],[SETEMBRO]]</f>
        <v>0</v>
      </c>
      <c r="L339" s="62"/>
      <c r="M339" s="62"/>
      <c r="N339" s="119"/>
      <c r="O339" s="243">
        <f>Fluxo_de_Caixa_Janeiro310201314[[#This Row],[Setembro]]</f>
        <v>0</v>
      </c>
      <c r="P339" s="138" t="str">
        <f t="shared" si="15"/>
        <v>0,00%</v>
      </c>
      <c r="Q339" s="78"/>
      <c r="R339" s="34"/>
    </row>
    <row r="340" spans="2:18" x14ac:dyDescent="0.25">
      <c r="B340" s="47" t="str">
        <f>Fluxo_de_Caixa_Janeiro[[#This Row],[Fluxo de Caixa 2026 CTR]]</f>
        <v>1.2-BRADESCO 15232-3 MATRIZ</v>
      </c>
      <c r="C340" s="35"/>
      <c r="D340" s="62"/>
      <c r="E340" s="62"/>
      <c r="F340" s="62"/>
      <c r="G340" s="62"/>
      <c r="H340" s="119"/>
      <c r="I340" s="62">
        <f>Fluxo_de_Caixa_Janeiro3459117[[#This Row],[JULHO]]</f>
        <v>0</v>
      </c>
      <c r="J340" s="62">
        <f>Fluxo_de_Caixa_Janeiro345911710[[#This Row],[AGOSTO]]</f>
        <v>0</v>
      </c>
      <c r="K340" s="62">
        <f>Fluxo_de_Caixa_Janeiro34591171012[[#This Row],[SETEMBRO]]</f>
        <v>0</v>
      </c>
      <c r="L340" s="62"/>
      <c r="M340" s="62"/>
      <c r="N340" s="119"/>
      <c r="O340" s="243">
        <f>Fluxo_de_Caixa_Janeiro310201314[[#This Row],[Setembro]]</f>
        <v>0</v>
      </c>
      <c r="P340" s="138" t="str">
        <f t="shared" si="15"/>
        <v>0,00%</v>
      </c>
      <c r="Q340" s="78"/>
      <c r="R340" s="34"/>
    </row>
    <row r="341" spans="2:18" x14ac:dyDescent="0.25">
      <c r="B341" s="47">
        <f>Fluxo_de_Caixa_Janeiro[[#This Row],[Fluxo de Caixa 2026 CTR]]</f>
        <v>0</v>
      </c>
      <c r="C341" s="35"/>
      <c r="D341" s="62"/>
      <c r="E341" s="62"/>
      <c r="F341" s="62"/>
      <c r="G341" s="62"/>
      <c r="H341" s="119"/>
      <c r="I341" s="62">
        <f>Fluxo_de_Caixa_Janeiro3459117[[#This Row],[JULHO]]</f>
        <v>0</v>
      </c>
      <c r="J341" s="62">
        <f>Fluxo_de_Caixa_Janeiro345911710[[#This Row],[AGOSTO]]</f>
        <v>0</v>
      </c>
      <c r="K341" s="62">
        <f>Fluxo_de_Caixa_Janeiro34591171012[[#This Row],[SETEMBRO]]</f>
        <v>0</v>
      </c>
      <c r="L341" s="62"/>
      <c r="M341" s="62"/>
      <c r="N341" s="119"/>
      <c r="O341" s="243">
        <f>Fluxo_de_Caixa_Janeiro310201314[[#This Row],[Setembro]]</f>
        <v>0</v>
      </c>
      <c r="P341" s="138" t="str">
        <f t="shared" si="15"/>
        <v>0,00%</v>
      </c>
      <c r="Q341" s="78"/>
      <c r="R341" s="34"/>
    </row>
    <row r="342" spans="2:18" x14ac:dyDescent="0.25">
      <c r="B342" s="47" t="str">
        <f>Fluxo_de_Caixa_Janeiro[[#This Row],[Fluxo de Caixa 2026 CTR]]</f>
        <v>1.3 - BANCO STONE MATRIZ C.C 40256726-7</v>
      </c>
      <c r="C342" s="35"/>
      <c r="D342" s="62"/>
      <c r="E342" s="62"/>
      <c r="F342" s="62"/>
      <c r="G342" s="62"/>
      <c r="H342" s="119"/>
      <c r="I342" s="62">
        <f>Fluxo_de_Caixa_Janeiro3459117[[#This Row],[JULHO]]</f>
        <v>0</v>
      </c>
      <c r="J342" s="62">
        <f>Fluxo_de_Caixa_Janeiro345911710[[#This Row],[AGOSTO]]</f>
        <v>0</v>
      </c>
      <c r="K342" s="62">
        <f>Fluxo_de_Caixa_Janeiro34591171012[[#This Row],[SETEMBRO]]</f>
        <v>0</v>
      </c>
      <c r="L342" s="62"/>
      <c r="M342" s="62"/>
      <c r="N342" s="119"/>
      <c r="O342" s="243">
        <f>Fluxo_de_Caixa_Janeiro310201314[[#This Row],[Setembro]]</f>
        <v>0</v>
      </c>
      <c r="P342" s="138" t="str">
        <f t="shared" si="15"/>
        <v>0,00%</v>
      </c>
      <c r="Q342" s="78"/>
      <c r="R342" s="34"/>
    </row>
    <row r="343" spans="2:18" x14ac:dyDescent="0.25">
      <c r="B343" s="47" t="str">
        <f>Fluxo_de_Caixa_Janeiro[[#This Row],[Fluxo de Caixa 2026 CTR]]</f>
        <v>1.4 - BANCO DA AMAZONIA 071730-7 MATRIZ</v>
      </c>
      <c r="C343" s="35"/>
      <c r="D343" s="62"/>
      <c r="E343" s="62"/>
      <c r="F343" s="62"/>
      <c r="G343" s="62"/>
      <c r="H343" s="62"/>
      <c r="I343" s="35">
        <f>Fluxo_de_Caixa_Janeiro3459117[[#This Row],[JULHO]]</f>
        <v>0</v>
      </c>
      <c r="J343" s="62">
        <f>Fluxo_de_Caixa_Janeiro345911710[[#This Row],[AGOSTO]]</f>
        <v>0</v>
      </c>
      <c r="K343" s="62">
        <f>Fluxo_de_Caixa_Janeiro34591171012[[#This Row],[SETEMBRO]]</f>
        <v>0</v>
      </c>
      <c r="L343" s="62"/>
      <c r="M343" s="62"/>
      <c r="N343" s="119"/>
      <c r="O343" s="243">
        <f>Fluxo_de_Caixa_Janeiro310201314[[#This Row],[Setembro]]</f>
        <v>0</v>
      </c>
      <c r="P343" s="138" t="str">
        <f t="shared" si="15"/>
        <v>0,00%</v>
      </c>
      <c r="Q343" s="78"/>
      <c r="R343" s="34"/>
    </row>
    <row r="344" spans="2:18" x14ac:dyDescent="0.25">
      <c r="B344" s="47" t="str">
        <f>Fluxo_de_Caixa_Janeiro[[#This Row],[Fluxo de Caixa 2026 CTR]]</f>
        <v>1.4.1.INVESTIMENTO CDBORE RCP TXFL</v>
      </c>
      <c r="C344" s="35"/>
      <c r="D344" s="62"/>
      <c r="E344" s="62"/>
      <c r="F344" s="62"/>
      <c r="G344" s="62"/>
      <c r="H344" s="62"/>
      <c r="I344" s="35">
        <f>Fluxo_de_Caixa_Janeiro3459117[[#This Row],[JULHO]]</f>
        <v>0</v>
      </c>
      <c r="J344" s="62">
        <f>Fluxo_de_Caixa_Janeiro345911710[[#This Row],[AGOSTO]]</f>
        <v>0</v>
      </c>
      <c r="K344" s="62">
        <f>Fluxo_de_Caixa_Janeiro34591171012[[#This Row],[SETEMBRO]]</f>
        <v>0</v>
      </c>
      <c r="L344" s="62"/>
      <c r="M344" s="62"/>
      <c r="N344" s="119"/>
      <c r="O344" s="243">
        <f>Fluxo_de_Caixa_Janeiro310201314[[#This Row],[Setembro]]</f>
        <v>0</v>
      </c>
      <c r="P344" s="138" t="str">
        <f t="shared" si="15"/>
        <v>0,00%</v>
      </c>
      <c r="Q344" s="78"/>
      <c r="R344" s="34"/>
    </row>
    <row r="345" spans="2:18" x14ac:dyDescent="0.25">
      <c r="B345" s="47" t="str">
        <f>Fluxo_de_Caixa_Janeiro[[#This Row],[Fluxo de Caixa 2026 CTR]]</f>
        <v>1.5 -  ITAU C.C.98671-6 MATRIZ</v>
      </c>
      <c r="C345" s="35"/>
      <c r="D345" s="62"/>
      <c r="E345" s="62"/>
      <c r="F345" s="62"/>
      <c r="G345" s="62"/>
      <c r="H345" s="62"/>
      <c r="I345" s="35">
        <f>Fluxo_de_Caixa_Janeiro3459117[[#This Row],[JULHO]]</f>
        <v>0</v>
      </c>
      <c r="J345" s="62">
        <f>Fluxo_de_Caixa_Janeiro345911710[[#This Row],[AGOSTO]]</f>
        <v>0</v>
      </c>
      <c r="K345" s="62">
        <f>Fluxo_de_Caixa_Janeiro34591171012[[#This Row],[SETEMBRO]]</f>
        <v>0</v>
      </c>
      <c r="L345" s="62"/>
      <c r="M345" s="62"/>
      <c r="N345" s="119"/>
      <c r="O345" s="243">
        <f>Fluxo_de_Caixa_Janeiro310201314[[#This Row],[Setembro]]</f>
        <v>0</v>
      </c>
      <c r="P345" s="138" t="str">
        <f t="shared" si="15"/>
        <v>0,00%</v>
      </c>
      <c r="Q345" s="78"/>
      <c r="R345" s="34"/>
    </row>
    <row r="346" spans="2:18" x14ac:dyDescent="0.25">
      <c r="B346" s="47" t="str">
        <f>Fluxo_de_Caixa_Janeiro[[#This Row],[Fluxo de Caixa 2026 CTR]]</f>
        <v>1.5.03. ITAU C.C 83290-2 GARANTIDA</v>
      </c>
      <c r="C346" s="35"/>
      <c r="D346" s="62"/>
      <c r="E346" s="62"/>
      <c r="F346" s="62"/>
      <c r="G346" s="62"/>
      <c r="H346" s="62"/>
      <c r="I346" s="35">
        <f>Fluxo_de_Caixa_Janeiro3459117[[#This Row],[JULHO]]</f>
        <v>0</v>
      </c>
      <c r="J346" s="62">
        <f>Fluxo_de_Caixa_Janeiro345911710[[#This Row],[AGOSTO]]</f>
        <v>0</v>
      </c>
      <c r="K346" s="62">
        <f>Fluxo_de_Caixa_Janeiro34591171012[[#This Row],[SETEMBRO]]</f>
        <v>0</v>
      </c>
      <c r="L346" s="62"/>
      <c r="M346" s="62"/>
      <c r="N346" s="119"/>
      <c r="O346" s="243">
        <f>Fluxo_de_Caixa_Janeiro310201314[[#This Row],[Setembro]]</f>
        <v>0</v>
      </c>
      <c r="P346" s="138" t="str">
        <f t="shared" si="15"/>
        <v>0,00%</v>
      </c>
      <c r="Q346" s="78"/>
      <c r="R346" s="34"/>
    </row>
    <row r="347" spans="2:18" x14ac:dyDescent="0.25">
      <c r="B347" s="47" t="str">
        <f>Fluxo_de_Caixa_Janeiro[[#This Row],[Fluxo de Caixa 2026 CTR]]</f>
        <v>1.9 - CONTA PERDA/ROUBO/BONIFICAÇÃO E DOAÇÃO</v>
      </c>
      <c r="C347" s="35"/>
      <c r="D347" s="62"/>
      <c r="E347" s="62"/>
      <c r="F347" s="62"/>
      <c r="G347" s="62"/>
      <c r="H347" s="62"/>
      <c r="I347" s="35">
        <f>Fluxo_de_Caixa_Janeiro3459117[[#This Row],[JULHO]]</f>
        <v>0</v>
      </c>
      <c r="J347" s="62">
        <f>Fluxo_de_Caixa_Janeiro345911710[[#This Row],[AGOSTO]]</f>
        <v>0</v>
      </c>
      <c r="K347" s="62">
        <f>Fluxo_de_Caixa_Janeiro34591171012[[#This Row],[SETEMBRO]]</f>
        <v>0</v>
      </c>
      <c r="L347" s="62"/>
      <c r="M347" s="62"/>
      <c r="N347" s="119"/>
      <c r="O347" s="244">
        <f>Fluxo_de_Caixa_Janeiro310201314[[#This Row],[Dezembro]]</f>
        <v>0</v>
      </c>
      <c r="P347" s="138" t="str">
        <f t="shared" si="15"/>
        <v>0,00%</v>
      </c>
      <c r="Q347" s="78"/>
    </row>
    <row r="348" spans="2:18" x14ac:dyDescent="0.25">
      <c r="B348" s="47">
        <f>Fluxo_de_Caixa_Janeiro[[#This Row],[Fluxo de Caixa 2026 CTR]]</f>
        <v>0</v>
      </c>
      <c r="C348" s="35"/>
      <c r="D348" s="62"/>
      <c r="E348" s="62"/>
      <c r="F348" s="62"/>
      <c r="G348" s="62"/>
      <c r="H348" s="62"/>
      <c r="I348" s="35">
        <f>Fluxo_de_Caixa_Janeiro3459117[[#This Row],[JULHO]]</f>
        <v>0</v>
      </c>
      <c r="J348" s="62">
        <f>Fluxo_de_Caixa_Janeiro345911710[[#This Row],[AGOSTO]]</f>
        <v>0</v>
      </c>
      <c r="K348" s="62">
        <f>Fluxo_de_Caixa_Janeiro34591171012[[#This Row],[SETEMBRO]]</f>
        <v>0</v>
      </c>
      <c r="L348" s="62"/>
      <c r="M348" s="62"/>
      <c r="N348" s="119"/>
      <c r="O348" s="244">
        <f>Fluxo_de_Caixa_Janeiro310201314[[#This Row],[Dezembro]]</f>
        <v>0</v>
      </c>
      <c r="P348" s="138" t="str">
        <f t="shared" si="15"/>
        <v>0,00%</v>
      </c>
      <c r="Q348" s="78"/>
    </row>
    <row r="349" spans="2:18" x14ac:dyDescent="0.25">
      <c r="B349" s="47" t="str">
        <f>Fluxo_de_Caixa_Janeiro[[#This Row],[Fluxo de Caixa 2026 CTR]]</f>
        <v>2.1 - BANCO DO BRASIL C.C.60638-3 FILIAL PALMAS</v>
      </c>
      <c r="C349" s="35"/>
      <c r="D349" s="62"/>
      <c r="E349" s="62"/>
      <c r="F349" s="62"/>
      <c r="G349" s="62"/>
      <c r="H349" s="62"/>
      <c r="I349" s="35">
        <f>Fluxo_de_Caixa_Janeiro3459117[[#This Row],[JULHO]]</f>
        <v>0</v>
      </c>
      <c r="J349" s="62">
        <f>Fluxo_de_Caixa_Janeiro345911710[[#This Row],[AGOSTO]]</f>
        <v>0</v>
      </c>
      <c r="K349" s="62">
        <f>Fluxo_de_Caixa_Janeiro34591171012[[#This Row],[SETEMBRO]]</f>
        <v>0</v>
      </c>
      <c r="L349" s="62"/>
      <c r="M349" s="62"/>
      <c r="N349" s="119"/>
      <c r="O349" s="244">
        <f>Fluxo_de_Caixa_Janeiro310201314[[#This Row],[Dezembro]]</f>
        <v>0</v>
      </c>
      <c r="P349" s="138" t="str">
        <f t="shared" si="15"/>
        <v>0,00%</v>
      </c>
      <c r="Q349" s="78"/>
    </row>
    <row r="350" spans="2:18" x14ac:dyDescent="0.25">
      <c r="B350" s="47">
        <f>Fluxo_de_Caixa_Janeiro[[#This Row],[Fluxo de Caixa 2026 CTR]]</f>
        <v>0</v>
      </c>
      <c r="C350" s="35"/>
      <c r="D350" s="62"/>
      <c r="E350" s="62"/>
      <c r="F350" s="62"/>
      <c r="G350" s="62"/>
      <c r="H350" s="62"/>
      <c r="I350" s="35">
        <f>Fluxo_de_Caixa_Janeiro3459117[[#This Row],[JULHO]]</f>
        <v>0</v>
      </c>
      <c r="J350" s="62">
        <f>Fluxo_de_Caixa_Janeiro345911710[[#This Row],[AGOSTO]]</f>
        <v>0</v>
      </c>
      <c r="K350" s="62">
        <f>Fluxo_de_Caixa_Janeiro34591171012[[#This Row],[SETEMBRO]]</f>
        <v>0</v>
      </c>
      <c r="L350" s="62"/>
      <c r="M350" s="62"/>
      <c r="N350" s="119"/>
      <c r="O350" s="244">
        <f>Fluxo_de_Caixa_Janeiro310201314[[#This Row],[Dezembro]]</f>
        <v>0</v>
      </c>
      <c r="P350" s="138" t="str">
        <f t="shared" ref="P350:P360" si="16">IFERROR(O350/$O$336,"0,00%")</f>
        <v>0,00%</v>
      </c>
      <c r="Q350" s="78"/>
    </row>
    <row r="351" spans="2:18" x14ac:dyDescent="0.25">
      <c r="B351" s="47">
        <f>Fluxo_de_Caixa_Janeiro[[#This Row],[Fluxo de Caixa 2026 CTR]]</f>
        <v>0</v>
      </c>
      <c r="C351" s="35"/>
      <c r="D351" s="62"/>
      <c r="E351" s="62"/>
      <c r="F351" s="62"/>
      <c r="G351" s="62"/>
      <c r="H351" s="62"/>
      <c r="I351" s="35">
        <f>Fluxo_de_Caixa_Janeiro3459117[[#This Row],[JULHO]]</f>
        <v>0</v>
      </c>
      <c r="J351" s="62">
        <f>Fluxo_de_Caixa_Janeiro345911710[[#This Row],[AGOSTO]]</f>
        <v>0</v>
      </c>
      <c r="K351" s="62">
        <f>Fluxo_de_Caixa_Janeiro34591171012[[#This Row],[SETEMBRO]]</f>
        <v>0</v>
      </c>
      <c r="L351" s="62"/>
      <c r="M351" s="62"/>
      <c r="N351" s="119"/>
      <c r="O351" s="244">
        <f>Fluxo_de_Caixa_Janeiro310201314[[#This Row],[Dezembro]]</f>
        <v>0</v>
      </c>
      <c r="P351" s="138" t="str">
        <f t="shared" si="16"/>
        <v>0,00%</v>
      </c>
      <c r="Q351" s="78"/>
    </row>
    <row r="352" spans="2:18" x14ac:dyDescent="0.25">
      <c r="B352" s="47" t="str">
        <f>Fluxo_de_Caixa_Janeiro[[#This Row],[Fluxo de Caixa 2026 CTR]]</f>
        <v>2.4 - ITAU C.C.98669-0 FILIAL PALMAS</v>
      </c>
      <c r="C352" s="35"/>
      <c r="D352" s="62"/>
      <c r="E352" s="62"/>
      <c r="F352" s="62"/>
      <c r="G352" s="62"/>
      <c r="H352" s="62"/>
      <c r="I352" s="35">
        <f>Fluxo_de_Caixa_Janeiro3459117[[#This Row],[JULHO]]</f>
        <v>0</v>
      </c>
      <c r="J352" s="62">
        <f>Fluxo_de_Caixa_Janeiro345911710[[#This Row],[AGOSTO]]</f>
        <v>0</v>
      </c>
      <c r="K352" s="62">
        <f>Fluxo_de_Caixa_Janeiro34591171012[[#This Row],[SETEMBRO]]</f>
        <v>0</v>
      </c>
      <c r="L352" s="62"/>
      <c r="M352" s="62"/>
      <c r="N352" s="119"/>
      <c r="O352" s="244">
        <f>Fluxo_de_Caixa_Janeiro310201314[[#This Row],[Dezembro]]</f>
        <v>0</v>
      </c>
      <c r="P352" s="138" t="str">
        <f t="shared" si="16"/>
        <v>0,00%</v>
      </c>
      <c r="Q352" s="78"/>
    </row>
    <row r="353" spans="2:17" x14ac:dyDescent="0.25">
      <c r="B353" s="47" t="str">
        <f>Fluxo_de_Caixa_Janeiro[[#This Row],[Fluxo de Caixa 2026 CTR]]</f>
        <v>2.9 - CONTA PERDA/ROUBO E BONIFICAÇÃO FILIAL</v>
      </c>
      <c r="C353" s="35"/>
      <c r="D353" s="62"/>
      <c r="E353" s="62"/>
      <c r="F353" s="62"/>
      <c r="G353" s="62"/>
      <c r="H353" s="62"/>
      <c r="I353" s="35">
        <f>Fluxo_de_Caixa_Janeiro3459117[[#This Row],[JULHO]]</f>
        <v>0</v>
      </c>
      <c r="J353" s="62">
        <f>Fluxo_de_Caixa_Janeiro345911710[[#This Row],[AGOSTO]]</f>
        <v>0</v>
      </c>
      <c r="K353" s="62">
        <f>Fluxo_de_Caixa_Janeiro34591171012[[#This Row],[SETEMBRO]]</f>
        <v>0</v>
      </c>
      <c r="L353" s="62"/>
      <c r="M353" s="62"/>
      <c r="N353" s="119"/>
      <c r="O353" s="244">
        <f>Fluxo_de_Caixa_Janeiro310201314[[#This Row],[Dezembro]]</f>
        <v>0</v>
      </c>
      <c r="P353" s="138" t="str">
        <f t="shared" si="16"/>
        <v>0,00%</v>
      </c>
      <c r="Q353" s="78"/>
    </row>
    <row r="354" spans="2:17" x14ac:dyDescent="0.25">
      <c r="B354" s="47" t="str">
        <f>Fluxo_de_Caixa_Janeiro[[#This Row],[Fluxo de Caixa 2026 CTR]]</f>
        <v>4.0 - TESOURARIA FILIAL PORTO</v>
      </c>
      <c r="C354" s="35"/>
      <c r="D354" s="62"/>
      <c r="E354" s="62"/>
      <c r="F354" s="62"/>
      <c r="G354" s="62"/>
      <c r="H354" s="62"/>
      <c r="I354" s="35">
        <f>Fluxo_de_Caixa_Janeiro3459117[[#This Row],[JULHO]]</f>
        <v>0</v>
      </c>
      <c r="J354" s="62">
        <f>Fluxo_de_Caixa_Janeiro345911710[[#This Row],[AGOSTO]]</f>
        <v>0</v>
      </c>
      <c r="K354" s="62">
        <f>Fluxo_de_Caixa_Janeiro34591171012[[#This Row],[SETEMBRO]]</f>
        <v>0</v>
      </c>
      <c r="L354" s="62"/>
      <c r="M354" s="62"/>
      <c r="N354" s="119"/>
      <c r="O354" s="244">
        <f>Fluxo_de_Caixa_Janeiro310201314[[#This Row],[Dezembro]]</f>
        <v>0</v>
      </c>
      <c r="P354" s="138" t="str">
        <f t="shared" si="16"/>
        <v>0,00%</v>
      </c>
      <c r="Q354" s="78"/>
    </row>
    <row r="355" spans="2:17" x14ac:dyDescent="0.25">
      <c r="B355" s="47" t="str">
        <f>Fluxo_de_Caixa_Janeiro[[#This Row],[Fluxo de Caixa 2026 CTR]]</f>
        <v>4.1 -  BANCO DO BRASIL C.C.61105-0 FILIAL PORTO</v>
      </c>
      <c r="C355" s="35"/>
      <c r="D355" s="62"/>
      <c r="E355" s="62"/>
      <c r="F355" s="62"/>
      <c r="G355" s="62"/>
      <c r="H355" s="62"/>
      <c r="I355" s="35">
        <f>Fluxo_de_Caixa_Janeiro3459117[[#This Row],[JULHO]]</f>
        <v>0</v>
      </c>
      <c r="J355" s="62">
        <f>Fluxo_de_Caixa_Janeiro345911710[[#This Row],[AGOSTO]]</f>
        <v>0</v>
      </c>
      <c r="K355" s="62">
        <f>Fluxo_de_Caixa_Janeiro34591171012[[#This Row],[SETEMBRO]]</f>
        <v>0</v>
      </c>
      <c r="L355" s="62"/>
      <c r="M355" s="62"/>
      <c r="N355" s="119"/>
      <c r="O355" s="244">
        <f>Fluxo_de_Caixa_Janeiro310201314[[#This Row],[Dezembro]]</f>
        <v>0</v>
      </c>
      <c r="P355" s="138" t="str">
        <f t="shared" si="16"/>
        <v>0,00%</v>
      </c>
      <c r="Q355" s="78"/>
    </row>
    <row r="356" spans="2:17" x14ac:dyDescent="0.25">
      <c r="B356" s="47">
        <f>Fluxo_de_Caixa_Janeiro[[#This Row],[Fluxo de Caixa 2026 CTR]]</f>
        <v>0</v>
      </c>
      <c r="C356" s="35"/>
      <c r="D356" s="62"/>
      <c r="E356" s="62"/>
      <c r="F356" s="62"/>
      <c r="G356" s="62"/>
      <c r="H356" s="62"/>
      <c r="I356" s="35">
        <f>Fluxo_de_Caixa_Janeiro3459117[[#This Row],[JULHO]]</f>
        <v>0</v>
      </c>
      <c r="J356" s="62">
        <f>Fluxo_de_Caixa_Janeiro345911710[[#This Row],[AGOSTO]]</f>
        <v>0</v>
      </c>
      <c r="K356" s="62">
        <f>Fluxo_de_Caixa_Janeiro34591171012[[#This Row],[SETEMBRO]]</f>
        <v>0</v>
      </c>
      <c r="L356" s="62"/>
      <c r="M356" s="62"/>
      <c r="N356" s="119"/>
      <c r="O356" s="244">
        <f>Fluxo_de_Caixa_Janeiro310201314[[#This Row],[Dezembro]]</f>
        <v>0</v>
      </c>
      <c r="P356" s="138" t="str">
        <f t="shared" si="16"/>
        <v>0,00%</v>
      </c>
      <c r="Q356" s="78"/>
    </row>
    <row r="357" spans="2:17" x14ac:dyDescent="0.25">
      <c r="B357" s="47" t="str">
        <f>Fluxo_de_Caixa_Janeiro[[#This Row],[Fluxo de Caixa 2026 CTR]]</f>
        <v>4.4 - MERCADO PAGO PIX FILIAL PORTO</v>
      </c>
      <c r="C357" s="35"/>
      <c r="D357" s="62"/>
      <c r="E357" s="62"/>
      <c r="F357" s="62"/>
      <c r="G357" s="62"/>
      <c r="H357" s="62"/>
      <c r="I357" s="35">
        <f>Fluxo_de_Caixa_Janeiro3459117[[#This Row],[JULHO]]</f>
        <v>0</v>
      </c>
      <c r="J357" s="62">
        <f>Fluxo_de_Caixa_Janeiro345911710[[#This Row],[AGOSTO]]</f>
        <v>0</v>
      </c>
      <c r="K357" s="62">
        <f>Fluxo_de_Caixa_Janeiro34591171012[[#This Row],[SETEMBRO]]</f>
        <v>0</v>
      </c>
      <c r="L357" s="62"/>
      <c r="M357" s="62"/>
      <c r="N357" s="119"/>
      <c r="O357" s="244">
        <f>Fluxo_de_Caixa_Janeiro310201314[[#This Row],[Dezembro]]</f>
        <v>0</v>
      </c>
      <c r="P357" s="138" t="str">
        <f t="shared" si="16"/>
        <v>0,00%</v>
      </c>
      <c r="Q357" s="78"/>
    </row>
    <row r="358" spans="2:17" x14ac:dyDescent="0.25">
      <c r="B358" s="47" t="str">
        <f>Fluxo_de_Caixa_Janeiro[[#This Row],[Fluxo de Caixa 2026 CTR]]</f>
        <v>4.9 - CONTA PERDA/ROUBO E BONIFICAÇÃO FILIAL</v>
      </c>
      <c r="C358" s="35"/>
      <c r="D358" s="62"/>
      <c r="E358" s="62"/>
      <c r="F358" s="62"/>
      <c r="G358" s="62"/>
      <c r="H358" s="62"/>
      <c r="I358" s="35">
        <f>Fluxo_de_Caixa_Janeiro3459117[[#This Row],[JULHO]]</f>
        <v>0</v>
      </c>
      <c r="J358" s="62">
        <f>Fluxo_de_Caixa_Janeiro345911710[[#This Row],[AGOSTO]]</f>
        <v>0</v>
      </c>
      <c r="K358" s="62">
        <f>Fluxo_de_Caixa_Janeiro34591171012[[#This Row],[SETEMBRO]]</f>
        <v>0</v>
      </c>
      <c r="L358" s="62"/>
      <c r="M358" s="62"/>
      <c r="N358" s="119"/>
      <c r="O358" s="244">
        <f>Fluxo_de_Caixa_Janeiro310201314[[#This Row],[Dezembro]]</f>
        <v>0</v>
      </c>
      <c r="P358" s="138" t="str">
        <f t="shared" si="16"/>
        <v>0,00%</v>
      </c>
      <c r="Q358" s="78"/>
    </row>
    <row r="359" spans="2:17" x14ac:dyDescent="0.25">
      <c r="B359" s="47" t="str">
        <f>Fluxo_de_Caixa_Janeiro[[#This Row],[Fluxo de Caixa 2026 CTR]]</f>
        <v>91.CARTÃO ENDERED 5099+4596+6933+8072 - ESCRITORIO</v>
      </c>
      <c r="C359" s="35"/>
      <c r="D359" s="62"/>
      <c r="E359" s="62"/>
      <c r="F359" s="62"/>
      <c r="G359" s="62"/>
      <c r="H359" s="62"/>
      <c r="I359" s="35">
        <f>Fluxo_de_Caixa_Janeiro3459117[[#This Row],[JULHO]]</f>
        <v>0</v>
      </c>
      <c r="J359" s="62">
        <f>Fluxo_de_Caixa_Janeiro345911710[[#This Row],[AGOSTO]]</f>
        <v>0</v>
      </c>
      <c r="K359" s="62">
        <f>Fluxo_de_Caixa_Janeiro34591171012[[#This Row],[SETEMBRO]]</f>
        <v>0</v>
      </c>
      <c r="L359" s="62"/>
      <c r="M359" s="62"/>
      <c r="N359" s="119"/>
      <c r="O359" s="244">
        <f>Fluxo_de_Caixa_Janeiro310201314[[#This Row],[Dezembro]]</f>
        <v>0</v>
      </c>
      <c r="P359" s="138" t="str">
        <f t="shared" si="16"/>
        <v>0,00%</v>
      </c>
      <c r="Q359" s="78"/>
    </row>
    <row r="360" spans="2:17" ht="15.75" thickBot="1" x14ac:dyDescent="0.3">
      <c r="B360" s="47">
        <f>Fluxo_de_Caixa_Janeiro[[#This Row],[Fluxo de Caixa 2026 CTR]]</f>
        <v>0</v>
      </c>
      <c r="C360" s="35"/>
      <c r="D360" s="62"/>
      <c r="E360" s="62"/>
      <c r="F360" s="62"/>
      <c r="G360" s="62"/>
      <c r="H360" s="62"/>
      <c r="I360" s="35">
        <f>Fluxo_de_Caixa_Janeiro3459117[[#This Row],[JULHO]]</f>
        <v>0</v>
      </c>
      <c r="J360" s="62">
        <f>Fluxo_de_Caixa_Janeiro345911710[[#This Row],[AGOSTO]]</f>
        <v>0</v>
      </c>
      <c r="K360" s="62">
        <f>Fluxo_de_Caixa_Janeiro34591171012[[#This Row],[SETEMBRO]]</f>
        <v>0</v>
      </c>
      <c r="L360" s="62"/>
      <c r="M360" s="62"/>
      <c r="N360" s="119"/>
      <c r="O360" s="244">
        <f>Fluxo_de_Caixa_Janeiro310201314[[#This Row],[Dezembro]]</f>
        <v>0</v>
      </c>
      <c r="P360" s="138" t="str">
        <f t="shared" si="16"/>
        <v>0,00%</v>
      </c>
      <c r="Q360" s="78"/>
    </row>
    <row r="361" spans="2:17" ht="24" thickBot="1" x14ac:dyDescent="0.4">
      <c r="B361" s="176"/>
      <c r="C361" s="164"/>
      <c r="D361" s="116"/>
      <c r="E361" s="116"/>
      <c r="F361" s="116"/>
      <c r="G361" s="116"/>
      <c r="H361" s="116"/>
      <c r="I361" s="164">
        <f>Fluxo_de_Caixa_Janeiro3459117[[#This Row],[JULHO]]</f>
        <v>0</v>
      </c>
      <c r="J361" s="116">
        <f>Fluxo_de_Caixa_Janeiro345911710[[#This Row],[AGOSTO]]</f>
        <v>0</v>
      </c>
      <c r="K361" s="116">
        <f>Fluxo_de_Caixa_Janeiro34591171012[[#This Row],[SETEMBRO]]</f>
        <v>0</v>
      </c>
      <c r="L361" s="116"/>
      <c r="M361" s="116"/>
      <c r="N361" s="136"/>
      <c r="O361" s="245">
        <f>O336-O335</f>
        <v>0</v>
      </c>
      <c r="P361" s="255" t="str">
        <f t="shared" si="15"/>
        <v>0,00%</v>
      </c>
      <c r="Q361" s="117"/>
    </row>
    <row r="362" spans="2:17" x14ac:dyDescent="0.25"/>
    <row r="363" spans="2:17" x14ac:dyDescent="0.25"/>
    <row r="364" spans="2:17" x14ac:dyDescent="0.25"/>
    <row r="365" spans="2:17" x14ac:dyDescent="0.25"/>
    <row r="366" spans="2:17" x14ac:dyDescent="0.25"/>
    <row r="367" spans="2:17" x14ac:dyDescent="0.25"/>
    <row r="369" x14ac:dyDescent="0.25"/>
    <row r="370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8" x14ac:dyDescent="0.25"/>
    <row r="420" x14ac:dyDescent="0.25"/>
    <row r="421" x14ac:dyDescent="0.25"/>
    <row r="422" x14ac:dyDescent="0.25"/>
    <row r="423" x14ac:dyDescent="0.25"/>
    <row r="424" x14ac:dyDescent="0.25"/>
  </sheetData>
  <protectedRanges>
    <protectedRange sqref="O347:O360" name="Saldo Final de Banco"/>
    <protectedRange sqref="O326:O329 O311:O314 O276:O293" name="Despesas nao operacionais"/>
    <protectedRange sqref="O249:O255 O241:O247 O257:O260 O262:O271" name="Receita nao opercional"/>
    <protectedRange sqref="O51 O29:O47" name="Total Receitas Operacionais  Vendas"/>
    <protectedRange sqref="O61:O63 O71:O72 O55:O59 O78:O84 O65:O69" name="Despesas Custo Aquisicao"/>
    <protectedRange sqref="O3:O26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46" name="Saldo Final de Banco_1"/>
    <protectedRange sqref="O89:O95" name="Despesas Operacionais_9"/>
    <protectedRange sqref="C344:H360" name="Saldo Final de Banco_2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43" name="Saldo Final de Banco_1_1"/>
    <protectedRange sqref="C89:H95" name="Despesas Operacionais_9_1"/>
    <protectedRange sqref="I344:N360" name="Saldo Final de Banco_4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5:N59 I78:N84 I65:N69" name="Despesas Custo Aquisicao_6"/>
    <protectedRange sqref="I3:N13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43" name="Saldo Final de Banco_1_3"/>
    <protectedRange sqref="I89:N95" name="Despesas Operacionais_9_3"/>
  </protectedRanges>
  <conditionalFormatting sqref="C86:H86">
    <cfRule type="cellIs" dxfId="261" priority="11" operator="lessThan">
      <formula>0</formula>
    </cfRule>
  </conditionalFormatting>
  <conditionalFormatting sqref="C237:H237 C334:H334">
    <cfRule type="cellIs" dxfId="260" priority="17" operator="lessThan">
      <formula>0</formula>
    </cfRule>
    <cfRule type="cellIs" dxfId="259" priority="18" operator="greaterThan">
      <formula>0</formula>
    </cfRule>
  </conditionalFormatting>
  <conditionalFormatting sqref="C237:H237">
    <cfRule type="cellIs" dxfId="258" priority="14" operator="greaterThan">
      <formula>0</formula>
    </cfRule>
  </conditionalFormatting>
  <conditionalFormatting sqref="C335:H335">
    <cfRule type="cellIs" dxfId="257" priority="12" operator="lessThan">
      <formula>0</formula>
    </cfRule>
    <cfRule type="cellIs" dxfId="256" priority="13" operator="greaterThan">
      <formula>0.001</formula>
    </cfRule>
    <cfRule type="cellIs" dxfId="255" priority="15" operator="lessThan">
      <formula>0</formula>
    </cfRule>
    <cfRule type="cellIs" dxfId="254" priority="16" operator="greaterThan">
      <formula>0</formula>
    </cfRule>
    <cfRule type="aboveAverage" dxfId="253" priority="20" aboveAverage="0"/>
  </conditionalFormatting>
  <conditionalFormatting sqref="I86:N86">
    <cfRule type="cellIs" dxfId="252" priority="1" operator="lessThan">
      <formula>0</formula>
    </cfRule>
  </conditionalFormatting>
  <conditionalFormatting sqref="I237:N237 I334:N334">
    <cfRule type="cellIs" dxfId="251" priority="8" operator="greaterThan">
      <formula>0</formula>
    </cfRule>
    <cfRule type="cellIs" dxfId="250" priority="7" operator="lessThan">
      <formula>0</formula>
    </cfRule>
  </conditionalFormatting>
  <conditionalFormatting sqref="I237:N237">
    <cfRule type="cellIs" dxfId="249" priority="4" operator="greaterThan">
      <formula>0</formula>
    </cfRule>
  </conditionalFormatting>
  <conditionalFormatting sqref="I335:N335">
    <cfRule type="cellIs" dxfId="248" priority="2" operator="lessThan">
      <formula>0</formula>
    </cfRule>
    <cfRule type="cellIs" dxfId="247" priority="3" operator="greaterThan">
      <formula>0.001</formula>
    </cfRule>
    <cfRule type="cellIs" dxfId="246" priority="5" operator="lessThan">
      <formula>0</formula>
    </cfRule>
    <cfRule type="cellIs" dxfId="245" priority="6" operator="greaterThan">
      <formula>0</formula>
    </cfRule>
    <cfRule type="aboveAverage" dxfId="244" priority="10" aboveAverage="0"/>
  </conditionalFormatting>
  <conditionalFormatting sqref="O86">
    <cfRule type="cellIs" dxfId="243" priority="21" operator="lessThan">
      <formula>0</formula>
    </cfRule>
  </conditionalFormatting>
  <conditionalFormatting sqref="O237 O334">
    <cfRule type="cellIs" dxfId="242" priority="29" operator="greaterThan">
      <formula>0</formula>
    </cfRule>
  </conditionalFormatting>
  <conditionalFormatting sqref="O237">
    <cfRule type="cellIs" dxfId="241" priority="23" operator="greaterThan">
      <formula>0</formula>
    </cfRule>
    <cfRule type="cellIs" dxfId="240" priority="24" operator="lessThan">
      <formula>0</formula>
    </cfRule>
  </conditionalFormatting>
  <conditionalFormatting sqref="O334">
    <cfRule type="cellIs" dxfId="239" priority="28" operator="lessThan">
      <formula>0</formula>
    </cfRule>
  </conditionalFormatting>
  <conditionalFormatting sqref="O335">
    <cfRule type="cellIs" dxfId="238" priority="26" operator="lessThan">
      <formula>0</formula>
    </cfRule>
    <cfRule type="cellIs" dxfId="237" priority="27" operator="greaterThan">
      <formula>0</formula>
    </cfRule>
    <cfRule type="cellIs" dxfId="236" priority="22" operator="greaterThan">
      <formula>0</formula>
    </cfRule>
    <cfRule type="aboveAverage" dxfId="235" priority="31" aboveAverage="0"/>
  </conditionalFormatting>
  <conditionalFormatting sqref="P86">
    <cfRule type="cellIs" dxfId="234" priority="43" operator="lessThan">
      <formula>0</formula>
    </cfRule>
  </conditionalFormatting>
  <conditionalFormatting sqref="P237 P334">
    <cfRule type="cellIs" dxfId="233" priority="51" operator="greaterThan">
      <formula>0</formula>
    </cfRule>
  </conditionalFormatting>
  <conditionalFormatting sqref="P237">
    <cfRule type="cellIs" dxfId="232" priority="45" operator="greaterThan">
      <formula>0</formula>
    </cfRule>
    <cfRule type="cellIs" dxfId="231" priority="46" operator="lessThan">
      <formula>0</formula>
    </cfRule>
  </conditionalFormatting>
  <conditionalFormatting sqref="P334">
    <cfRule type="cellIs" dxfId="230" priority="50" operator="lessThan">
      <formula>0</formula>
    </cfRule>
  </conditionalFormatting>
  <conditionalFormatting sqref="P335">
    <cfRule type="cellIs" dxfId="229" priority="44" operator="greaterThan">
      <formula>0</formula>
    </cfRule>
    <cfRule type="cellIs" dxfId="228" priority="48" operator="lessThan">
      <formula>0</formula>
    </cfRule>
    <cfRule type="cellIs" dxfId="227" priority="49" operator="greaterThan">
      <formula>0</formula>
    </cfRule>
    <cfRule type="aboveAverage" dxfId="226" priority="53" aboveAverage="0"/>
  </conditionalFormatting>
  <conditionalFormatting sqref="Q86">
    <cfRule type="cellIs" dxfId="225" priority="32" operator="lessThan">
      <formula>0</formula>
    </cfRule>
  </conditionalFormatting>
  <conditionalFormatting sqref="Q237 Q334">
    <cfRule type="cellIs" dxfId="224" priority="40" operator="greaterThan">
      <formula>0</formula>
    </cfRule>
  </conditionalFormatting>
  <conditionalFormatting sqref="Q237">
    <cfRule type="cellIs" dxfId="223" priority="34" operator="greaterThan">
      <formula>0</formula>
    </cfRule>
    <cfRule type="cellIs" dxfId="222" priority="35" operator="lessThan">
      <formula>0</formula>
    </cfRule>
  </conditionalFormatting>
  <conditionalFormatting sqref="Q334">
    <cfRule type="cellIs" dxfId="221" priority="39" operator="lessThan">
      <formula>0</formula>
    </cfRule>
  </conditionalFormatting>
  <conditionalFormatting sqref="Q335">
    <cfRule type="cellIs" dxfId="220" priority="33" operator="greaterThan">
      <formula>0</formula>
    </cfRule>
    <cfRule type="cellIs" dxfId="219" priority="37" operator="lessThan">
      <formula>0</formula>
    </cfRule>
    <cfRule type="cellIs" dxfId="218" priority="38" operator="greaterThan">
      <formula>0</formula>
    </cfRule>
    <cfRule type="aboveAverage" dxfId="217" priority="42" aboveAverage="0"/>
  </conditionalFormatting>
  <conditionalFormatting sqref="R27:R335">
    <cfRule type="iconSet" priority="54">
      <iconSet iconSet="3Arrows">
        <cfvo type="percent" val="0"/>
        <cfvo type="percent" val="$R$27&lt;=0"/>
        <cfvo type="percent" val="$R$27&gt;=0"/>
      </iconSet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16" priority="56" operator="containsText" text="FALSO">
      <formula>NOT(ISERROR(SEARCH("FALSO",R27)))</formula>
    </cfRule>
    <cfRule type="containsText" dxfId="215" priority="57" operator="containsText" text="VERDADEIRO">
      <formula>NOT(ISERROR(SEARCH("VERDADEIRO",R27)))</formula>
    </cfRule>
    <cfRule type="iconSet" priority="58">
      <iconSet iconSet="3Arrows">
        <cfvo type="percent" val="0"/>
        <cfvo type="percent" val="0"/>
        <cfvo type="percent" val="0"/>
      </iconSet>
    </cfRule>
    <cfRule type="iconSet" priority="59">
      <iconSet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9" scale="44" orientation="landscape" r:id="rId1"/>
  <rowBreaks count="2" manualBreakCount="2">
    <brk id="86" max="16383" man="1"/>
    <brk id="237" min="1" max="19" man="1"/>
  </rowBreak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890C-2B42-4F6A-B96E-F77EF1593078}">
  <sheetPr>
    <tabColor theme="0"/>
    <pageSetUpPr autoPageBreaks="0"/>
  </sheetPr>
  <dimension ref="A1:HA411"/>
  <sheetViews>
    <sheetView zoomScaleNormal="100" zoomScaleSheetLayoutView="100" workbookViewId="0">
      <pane xSplit="2" ySplit="1" topLeftCell="C2" activePane="bottomRight" state="frozen"/>
      <selection activeCell="G6" sqref="G6"/>
      <selection pane="topRight" activeCell="G6" sqref="G6"/>
      <selection pane="bottomLeft" activeCell="G6" sqref="G6"/>
      <selection pane="bottomRight" activeCell="D2" sqref="D2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140625" customWidth="1"/>
    <col min="8" max="8" width="23.7109375" style="246" customWidth="1"/>
    <col min="9" max="9" width="21.42578125" bestFit="1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thickBot="1" x14ac:dyDescent="0.4">
      <c r="B1" s="408" t="s">
        <v>303</v>
      </c>
      <c r="C1" s="409" t="s">
        <v>157</v>
      </c>
      <c r="D1" s="410" t="s">
        <v>318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SUM(D3:D17)</f>
        <v>0</v>
      </c>
      <c r="E2" s="307"/>
      <c r="F2" s="31"/>
      <c r="H2" s="285"/>
      <c r="I2" s="285"/>
    </row>
    <row r="3" spans="1:10" x14ac:dyDescent="0.25">
      <c r="B3" s="413" t="str">
        <f>Fluxo_de_Caixa_Janeiro[[#This Row],[Fluxo de Caixa 2026 CTR]]</f>
        <v>1.0 - TESOURARIA MATRIZ PALMAS</v>
      </c>
      <c r="C3" s="62">
        <f>SETEMBRO!C337</f>
        <v>0</v>
      </c>
      <c r="D3" s="414" t="str">
        <f>IF(C3=0,"0,00%",C3/$C$2)</f>
        <v>0,00%</v>
      </c>
      <c r="E3" s="66"/>
      <c r="F3" s="31"/>
      <c r="I3" s="246"/>
    </row>
    <row r="4" spans="1:10" x14ac:dyDescent="0.25">
      <c r="B4" s="413" t="str">
        <f>Fluxo_de_Caixa_Janeiro[[#This Row],[Fluxo de Caixa 2026 CTR]]</f>
        <v>1.1 - BANCO DO BRASIL C.C.60409-7 MATRIZ</v>
      </c>
      <c r="C4" s="62">
        <f>SETEMBRO!C338</f>
        <v>0</v>
      </c>
      <c r="D4" s="414" t="str">
        <f t="shared" ref="D4:D15" si="0">IF(C4=0,"0,00%",C4/$C$2)</f>
        <v>0,00%</v>
      </c>
      <c r="E4" s="66"/>
      <c r="F4" s="31"/>
      <c r="I4" s="246"/>
    </row>
    <row r="5" spans="1:10" hidden="1" x14ac:dyDescent="0.25">
      <c r="B5" s="413">
        <f>Fluxo_de_Caixa_Janeiro[[#This Row],[Fluxo de Caixa 2026 CTR]]</f>
        <v>0</v>
      </c>
      <c r="C5" s="62">
        <f>SETEMBRO!C339</f>
        <v>0</v>
      </c>
      <c r="D5" s="414" t="str">
        <f t="shared" si="0"/>
        <v>0,00%</v>
      </c>
      <c r="E5" s="66"/>
      <c r="F5" s="31"/>
      <c r="I5" s="246"/>
    </row>
    <row r="6" spans="1:10" x14ac:dyDescent="0.25">
      <c r="B6" s="413" t="str">
        <f>Fluxo_de_Caixa_Janeiro[[#This Row],[Fluxo de Caixa 2026 CTR]]</f>
        <v>1.2-BRADESCO 15232-3 MATRIZ</v>
      </c>
      <c r="C6" s="62">
        <f>SETEMBRO!C340</f>
        <v>0</v>
      </c>
      <c r="D6" s="414" t="str">
        <f t="shared" si="0"/>
        <v>0,00%</v>
      </c>
      <c r="E6" s="66"/>
      <c r="F6" s="31"/>
      <c r="I6" s="246"/>
    </row>
    <row r="7" spans="1:10" x14ac:dyDescent="0.25">
      <c r="B7" s="413">
        <f>Fluxo_de_Caixa_Janeiro[[#This Row],[Fluxo de Caixa 2026 CTR]]</f>
        <v>0</v>
      </c>
      <c r="C7" s="62">
        <f>SETEMBRO!C341</f>
        <v>0</v>
      </c>
      <c r="D7" s="414" t="str">
        <f t="shared" si="0"/>
        <v>0,00%</v>
      </c>
      <c r="E7" s="66"/>
      <c r="F7" s="31"/>
      <c r="I7" s="246"/>
    </row>
    <row r="8" spans="1:10" x14ac:dyDescent="0.25">
      <c r="B8" s="413" t="str">
        <f>Fluxo_de_Caixa_Janeiro[[#This Row],[Fluxo de Caixa 2026 CTR]]</f>
        <v>1.3 - BANCO STONE MATRIZ C.C 40256726-7</v>
      </c>
      <c r="C8" s="62">
        <f>SETEMBRO!C342</f>
        <v>0</v>
      </c>
      <c r="D8" s="414" t="str">
        <f t="shared" si="0"/>
        <v>0,00%</v>
      </c>
      <c r="E8" s="66"/>
      <c r="F8" s="31"/>
      <c r="I8" s="246"/>
    </row>
    <row r="9" spans="1:10" hidden="1" x14ac:dyDescent="0.25">
      <c r="B9" s="413" t="str">
        <f>Fluxo_de_Caixa_Janeiro[[#This Row],[Fluxo de Caixa 2026 CTR]]</f>
        <v>1.4 - BANCO DA AMAZONIA 071730-7 MATRIZ</v>
      </c>
      <c r="C9" s="62">
        <f>SETEMBRO!C343</f>
        <v>0</v>
      </c>
      <c r="D9" s="414" t="str">
        <f t="shared" si="0"/>
        <v>0,00%</v>
      </c>
      <c r="E9" s="66"/>
      <c r="F9" s="31"/>
      <c r="I9" s="246"/>
    </row>
    <row r="10" spans="1:10" x14ac:dyDescent="0.25">
      <c r="B10" s="413" t="str">
        <f>Fluxo_de_Caixa_Janeiro[[#This Row],[Fluxo de Caixa 2026 CTR]]</f>
        <v>1.4.1.INVESTIMENTO CDBORE RCP TXFL</v>
      </c>
      <c r="C10" s="62">
        <f>SETEMBRO!C344</f>
        <v>0</v>
      </c>
      <c r="D10" s="414" t="str">
        <f t="shared" si="0"/>
        <v>0,00%</v>
      </c>
      <c r="E10" s="66"/>
      <c r="F10" s="31"/>
      <c r="I10" s="246"/>
    </row>
    <row r="11" spans="1:10" x14ac:dyDescent="0.25">
      <c r="B11" s="413" t="str">
        <f>Fluxo_de_Caixa_Janeiro[[#This Row],[Fluxo de Caixa 2026 CTR]]</f>
        <v>1.5 -  ITAU C.C.98671-6 MATRIZ</v>
      </c>
      <c r="C11" s="62">
        <f>SETEMBRO!C345</f>
        <v>0</v>
      </c>
      <c r="D11" s="414" t="str">
        <f t="shared" si="0"/>
        <v>0,00%</v>
      </c>
      <c r="E11" s="66"/>
      <c r="F11" s="31"/>
      <c r="I11" s="246"/>
    </row>
    <row r="12" spans="1:10" x14ac:dyDescent="0.25">
      <c r="B12" s="413" t="str">
        <f>Fluxo_de_Caixa_Janeiro[[#This Row],[Fluxo de Caixa 2026 CTR]]</f>
        <v>1.5.03. ITAU C.C 83290-2 GARANTIDA</v>
      </c>
      <c r="C12" s="62">
        <f>SETEMBRO!C346</f>
        <v>0</v>
      </c>
      <c r="D12" s="414" t="str">
        <f t="shared" si="0"/>
        <v>0,00%</v>
      </c>
      <c r="E12" s="66"/>
      <c r="F12" s="31"/>
      <c r="I12" s="246"/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SETEMBRO!C347</f>
        <v>0</v>
      </c>
      <c r="D13" s="414" t="str">
        <f t="shared" si="0"/>
        <v>0,00%</v>
      </c>
      <c r="E13" s="66"/>
      <c r="F13" s="31"/>
      <c r="I13" s="246"/>
    </row>
    <row r="14" spans="1:10" x14ac:dyDescent="0.25">
      <c r="B14" s="413">
        <f>Fluxo_de_Caixa_Janeiro[[#This Row],[Fluxo de Caixa 2026 CTR]]</f>
        <v>0</v>
      </c>
      <c r="C14" s="62">
        <f>SETEMBRO!C348</f>
        <v>0</v>
      </c>
      <c r="D14" s="414" t="str">
        <f t="shared" si="0"/>
        <v>0,00%</v>
      </c>
      <c r="E14" s="66"/>
      <c r="F14" s="31"/>
      <c r="I14" s="246"/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SETEMBRO!C349</f>
        <v>0</v>
      </c>
      <c r="D15" s="414" t="str">
        <f t="shared" si="0"/>
        <v>0,00%</v>
      </c>
      <c r="E15" s="66"/>
      <c r="F15" s="31"/>
      <c r="I15" s="246"/>
    </row>
    <row r="16" spans="1:10" x14ac:dyDescent="0.25">
      <c r="B16" s="413">
        <f>Fluxo_de_Caixa_Janeiro[[#This Row],[Fluxo de Caixa 2026 CTR]]</f>
        <v>0</v>
      </c>
      <c r="C16" s="62">
        <f>SETEMBRO!C350</f>
        <v>0</v>
      </c>
      <c r="D16" s="414" t="str">
        <f t="shared" ref="D16:D26" si="1">IF(C16=0,"0,00%",C16/$C$2)</f>
        <v>0,00%</v>
      </c>
      <c r="E16" s="66"/>
      <c r="F16" s="31"/>
      <c r="I16" s="246"/>
    </row>
    <row r="17" spans="1:10" ht="15.75" thickBot="1" x14ac:dyDescent="0.3">
      <c r="B17" s="413">
        <f>Fluxo_de_Caixa_Janeiro[[#This Row],[Fluxo de Caixa 2026 CTR]]</f>
        <v>0</v>
      </c>
      <c r="C17" s="62">
        <f>SETEMBRO!C351</f>
        <v>0</v>
      </c>
      <c r="D17" s="414" t="str">
        <f t="shared" si="1"/>
        <v>0,00%</v>
      </c>
      <c r="E17" s="67"/>
      <c r="F17" s="31"/>
      <c r="I17" s="246"/>
    </row>
    <row r="18" spans="1:10" x14ac:dyDescent="0.25">
      <c r="B18" s="413" t="str">
        <f>Fluxo_de_Caixa_Janeiro[[#This Row],[Fluxo de Caixa 2026 CTR]]</f>
        <v>2.4 - ITAU C.C.98669-0 FILIAL PALMAS</v>
      </c>
      <c r="C18" s="62">
        <f>SETEMBRO!C352</f>
        <v>0</v>
      </c>
      <c r="D18" s="414" t="str">
        <f t="shared" si="1"/>
        <v>0,00%</v>
      </c>
      <c r="E18" s="617" t="e">
        <f>#REF!</f>
        <v>#REF!</v>
      </c>
      <c r="F18" s="31"/>
      <c r="I18" s="246"/>
    </row>
    <row r="19" spans="1:10" x14ac:dyDescent="0.25">
      <c r="B19" s="413" t="str">
        <f>Fluxo_de_Caixa_Janeiro[[#This Row],[Fluxo de Caixa 2026 CTR]]</f>
        <v>2.9 - CONTA PERDA/ROUBO E BONIFICAÇÃO FILIAL</v>
      </c>
      <c r="C19" s="62">
        <f>SETEMBRO!C353</f>
        <v>0</v>
      </c>
      <c r="D19" s="414" t="str">
        <f t="shared" si="1"/>
        <v>0,00%</v>
      </c>
      <c r="E19" s="617" t="e">
        <f>#REF!</f>
        <v>#REF!</v>
      </c>
      <c r="F19" s="31"/>
      <c r="I19" s="246"/>
    </row>
    <row r="20" spans="1:10" x14ac:dyDescent="0.25">
      <c r="B20" s="413" t="str">
        <f>Fluxo_de_Caixa_Janeiro[[#This Row],[Fluxo de Caixa 2026 CTR]]</f>
        <v>4.0 - TESOURARIA FILIAL PORTO</v>
      </c>
      <c r="C20" s="62">
        <f>SETEMBRO!C354</f>
        <v>0</v>
      </c>
      <c r="D20" s="414" t="str">
        <f t="shared" si="1"/>
        <v>0,00%</v>
      </c>
      <c r="E20" s="617" t="e">
        <f>#REF!</f>
        <v>#REF!</v>
      </c>
      <c r="F20" s="31"/>
      <c r="I20" s="246"/>
    </row>
    <row r="21" spans="1:10" x14ac:dyDescent="0.25">
      <c r="B21" s="413" t="str">
        <f>Fluxo_de_Caixa_Janeiro[[#This Row],[Fluxo de Caixa 2026 CTR]]</f>
        <v>4.1 -  BANCO DO BRASIL C.C.61105-0 FILIAL PORTO</v>
      </c>
      <c r="C21" s="62">
        <f>SETEMBRO!C355</f>
        <v>0</v>
      </c>
      <c r="D21" s="414" t="str">
        <f t="shared" si="1"/>
        <v>0,00%</v>
      </c>
      <c r="E21" s="617" t="e">
        <f>#REF!</f>
        <v>#REF!</v>
      </c>
      <c r="F21" s="31"/>
      <c r="I21" s="246"/>
    </row>
    <row r="22" spans="1:10" x14ac:dyDescent="0.25">
      <c r="B22" s="413">
        <f>Fluxo_de_Caixa_Janeiro[[#This Row],[Fluxo de Caixa 2026 CTR]]</f>
        <v>0</v>
      </c>
      <c r="C22" s="62">
        <f>SETEMBRO!C356</f>
        <v>0</v>
      </c>
      <c r="D22" s="414" t="str">
        <f t="shared" si="1"/>
        <v>0,00%</v>
      </c>
      <c r="E22" s="617" t="e">
        <f>#REF!</f>
        <v>#REF!</v>
      </c>
      <c r="F22" s="31"/>
      <c r="I22" s="246"/>
    </row>
    <row r="23" spans="1:10" x14ac:dyDescent="0.25">
      <c r="B23" s="413" t="str">
        <f>Fluxo_de_Caixa_Janeiro[[#This Row],[Fluxo de Caixa 2026 CTR]]</f>
        <v>4.4 - MERCADO PAGO PIX FILIAL PORTO</v>
      </c>
      <c r="C23" s="62">
        <f>SETEMBRO!C357</f>
        <v>0</v>
      </c>
      <c r="D23" s="414" t="str">
        <f t="shared" si="1"/>
        <v>0,00%</v>
      </c>
      <c r="E23" s="617" t="e">
        <f>#REF!</f>
        <v>#REF!</v>
      </c>
      <c r="F23" s="31"/>
      <c r="I23" s="246"/>
    </row>
    <row r="24" spans="1:10" x14ac:dyDescent="0.25">
      <c r="B24" s="413" t="str">
        <f>Fluxo_de_Caixa_Janeiro[[#This Row],[Fluxo de Caixa 2026 CTR]]</f>
        <v>4.9 - CONTA PERDA/ROUBO E BONIFICAÇÃO FILIAL</v>
      </c>
      <c r="C24" s="62">
        <f>SETEMBRO!C358</f>
        <v>0</v>
      </c>
      <c r="D24" s="414" t="str">
        <f t="shared" si="1"/>
        <v>0,00%</v>
      </c>
      <c r="E24" s="617" t="e">
        <f>#REF!</f>
        <v>#REF!</v>
      </c>
      <c r="F24" s="31"/>
      <c r="I24" s="246"/>
    </row>
    <row r="25" spans="1:10" x14ac:dyDescent="0.25">
      <c r="B25" s="413" t="str">
        <f>Fluxo_de_Caixa_Janeiro[[#This Row],[Fluxo de Caixa 2026 CTR]]</f>
        <v>91.CARTÃO ENDERED 5099+4596+6933+8072 - ESCRITORIO</v>
      </c>
      <c r="C25" s="62">
        <f>SETEMBRO!C359</f>
        <v>0</v>
      </c>
      <c r="D25" s="414" t="str">
        <f t="shared" si="1"/>
        <v>0,00%</v>
      </c>
      <c r="E25" s="617" t="e">
        <f>#REF!</f>
        <v>#REF!</v>
      </c>
      <c r="F25" s="31"/>
      <c r="I25" s="246"/>
    </row>
    <row r="26" spans="1:10" hidden="1" x14ac:dyDescent="0.25">
      <c r="B26" s="413">
        <f>Fluxo_de_Caixa_Janeiro[[#This Row],[Fluxo de Caixa 2026 CTR]]</f>
        <v>0</v>
      </c>
      <c r="C26" s="62">
        <f>SETEMBRO!C360</f>
        <v>0</v>
      </c>
      <c r="D26" s="414" t="str">
        <f t="shared" si="1"/>
        <v>0,00%</v>
      </c>
      <c r="E26" s="617" t="e">
        <f>#REF!</f>
        <v>#REF!</v>
      </c>
      <c r="F26" s="31"/>
      <c r="I26" s="246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2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3">H30+I30+J30</f>
        <v>0</v>
      </c>
      <c r="D30" s="420" t="str">
        <f t="shared" si="2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3"/>
        <v>0</v>
      </c>
      <c r="D31" s="420" t="str">
        <f t="shared" si="2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3"/>
        <v>0</v>
      </c>
      <c r="D32" s="420" t="str">
        <f t="shared" si="2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3"/>
        <v>0</v>
      </c>
      <c r="D33" s="420" t="str">
        <f t="shared" si="2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3"/>
        <v>0</v>
      </c>
      <c r="D34" s="420" t="str">
        <f t="shared" si="2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3"/>
        <v>0</v>
      </c>
      <c r="D35" s="420" t="str">
        <f t="shared" si="2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3"/>
        <v>0</v>
      </c>
      <c r="D36" s="420" t="str">
        <f t="shared" si="2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2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2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2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2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2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2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t="15.75" hidden="1" thickBot="1" x14ac:dyDescent="0.3">
      <c r="B43" s="421">
        <f>Fluxo_de_Caixa_Janeiro[[#This Row],[Fluxo de Caixa 2026 CTR]]</f>
        <v>0</v>
      </c>
      <c r="C43" s="62"/>
      <c r="D43" s="420" t="str">
        <f t="shared" si="2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2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2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2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2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4">H54+I54+J54</f>
        <v>0</v>
      </c>
      <c r="D54" s="426" t="str">
        <f t="shared" ref="D54:D59" si="5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5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4"/>
        <v>0</v>
      </c>
      <c r="D56" s="426" t="str">
        <f t="shared" si="5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4"/>
        <v>0</v>
      </c>
      <c r="D57" s="426" t="str">
        <f t="shared" si="5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t="15.75" hidden="1" thickBot="1" x14ac:dyDescent="0.3">
      <c r="B58" s="425">
        <f>Fluxo_de_Caixa_Janeiro[[#This Row],[Fluxo de Caixa 2026 CTR]]</f>
        <v>0</v>
      </c>
      <c r="C58" s="62"/>
      <c r="D58" s="426" t="str">
        <f t="shared" si="5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 t="str">
        <f t="shared" si="5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6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7">H62+I62+J62</f>
        <v>0</v>
      </c>
      <c r="D62" s="426" t="str">
        <f t="shared" si="6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7"/>
        <v>0</v>
      </c>
      <c r="D63" s="426" t="str">
        <f t="shared" si="6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7"/>
        <v>0</v>
      </c>
      <c r="D64" s="426" t="str">
        <f t="shared" si="6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7"/>
        <v>0</v>
      </c>
      <c r="D65" s="426" t="str">
        <f t="shared" si="6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t="15.75" hidden="1" thickBot="1" x14ac:dyDescent="0.3">
      <c r="B66" s="425">
        <f>Fluxo_de_Caixa_Janeiro[[#This Row],[Fluxo de Caixa 2026 CTR]]</f>
        <v>0</v>
      </c>
      <c r="C66" s="62">
        <f t="shared" si="7"/>
        <v>0</v>
      </c>
      <c r="D66" s="426" t="str">
        <f t="shared" si="6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t="15.75" hidden="1" thickBot="1" x14ac:dyDescent="0.3">
      <c r="B67" s="425">
        <f>Fluxo_de_Caixa_Janeiro[[#This Row],[Fluxo de Caixa 2026 CTR]]</f>
        <v>0</v>
      </c>
      <c r="C67" s="62">
        <f t="shared" si="7"/>
        <v>0</v>
      </c>
      <c r="D67" s="426" t="str">
        <f t="shared" si="6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t="15.75" hidden="1" thickBot="1" x14ac:dyDescent="0.3">
      <c r="B68" s="425">
        <f>Fluxo_de_Caixa_Janeiro[[#This Row],[Fluxo de Caixa 2026 CTR]]</f>
        <v>0</v>
      </c>
      <c r="C68" s="62">
        <f t="shared" si="7"/>
        <v>0</v>
      </c>
      <c r="D68" s="426" t="str">
        <f t="shared" si="6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7"/>
        <v>0</v>
      </c>
      <c r="D69" s="426" t="str">
        <f t="shared" si="6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25">
      <c r="B71" s="428">
        <f>Fluxo_de_Caixa_Janeiro[[#This Row],[Fluxo de Caixa 2026 CTR]]</f>
        <v>0</v>
      </c>
      <c r="C71" s="62"/>
      <c r="D71" s="426" t="str">
        <f t="shared" ref="D71:D84" si="8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8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9">H73+I73+J73</f>
        <v>0</v>
      </c>
      <c r="D73" s="426" t="str">
        <f t="shared" si="8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9"/>
        <v>0</v>
      </c>
      <c r="D74" s="426" t="str">
        <f t="shared" si="8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9"/>
        <v>0</v>
      </c>
      <c r="D75" s="426" t="str">
        <f t="shared" si="8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>H76+I76+J76</f>
        <v>0</v>
      </c>
      <c r="D76" s="426" t="str">
        <f t="shared" si="8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9"/>
        <v>0</v>
      </c>
      <c r="D77" s="426" t="str">
        <f t="shared" si="8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9"/>
        <v>0</v>
      </c>
      <c r="D78" s="426" t="str">
        <f t="shared" si="8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9"/>
        <v>0</v>
      </c>
      <c r="D79" s="426" t="str">
        <f t="shared" si="8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9"/>
        <v>0</v>
      </c>
      <c r="D80" s="426" t="str">
        <f t="shared" si="8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9"/>
        <v>0</v>
      </c>
      <c r="D81" s="426" t="str">
        <f t="shared" si="8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9"/>
        <v>0</v>
      </c>
      <c r="D82" s="426" t="str">
        <f t="shared" si="8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25">
      <c r="B83" s="428">
        <f>Fluxo_de_Caixa_Janeiro[[#This Row],[Fluxo de Caixa 2026 CTR]]</f>
        <v>0</v>
      </c>
      <c r="C83" s="62"/>
      <c r="D83" s="426" t="str">
        <f t="shared" si="8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 t="str">
        <f t="shared" si="8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8" si="10">H90+I90+J90</f>
        <v>0</v>
      </c>
      <c r="D90" s="438" t="str">
        <f t="shared" ref="D90:D99" si="11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10"/>
        <v>0</v>
      </c>
      <c r="D91" s="438" t="str">
        <f t="shared" si="11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 t="str">
        <f t="shared" si="11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10"/>
        <v>0</v>
      </c>
      <c r="D93" s="438" t="str">
        <f t="shared" si="11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>H94+I94+J94</f>
        <v>0</v>
      </c>
      <c r="D94" s="438" t="str">
        <f t="shared" si="11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10"/>
        <v>0</v>
      </c>
      <c r="D95" s="438" t="str">
        <f t="shared" si="11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 t="str">
        <f t="shared" si="11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 t="str">
        <f t="shared" si="11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>
        <f t="shared" si="10"/>
        <v>0</v>
      </c>
      <c r="D98" s="438" t="str">
        <f t="shared" si="11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25">
      <c r="B99" s="437">
        <f>Fluxo_de_Caixa_Janeiro[[#This Row],[Fluxo de Caixa 2026 CTR]]</f>
        <v>0</v>
      </c>
      <c r="C99" s="62"/>
      <c r="D99" s="438" t="str">
        <f t="shared" si="11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2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3">H102+I102+J102</f>
        <v>0</v>
      </c>
      <c r="D102" s="438" t="str">
        <f t="shared" si="12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3"/>
        <v>0</v>
      </c>
      <c r="D103" s="438" t="str">
        <f t="shared" si="12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3"/>
        <v>0</v>
      </c>
      <c r="D104" s="438" t="str">
        <f t="shared" si="12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3"/>
        <v>0</v>
      </c>
      <c r="D105" s="438" t="str">
        <f t="shared" si="12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3"/>
        <v>0</v>
      </c>
      <c r="D106" s="438" t="str">
        <f t="shared" si="12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3"/>
        <v>0</v>
      </c>
      <c r="D107" s="438" t="str">
        <f t="shared" si="12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3"/>
        <v>0</v>
      </c>
      <c r="D108" s="438" t="str">
        <f t="shared" si="12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3"/>
        <v>0</v>
      </c>
      <c r="D109" s="438" t="str">
        <f t="shared" si="12"/>
        <v>0,00%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3"/>
        <v>0</v>
      </c>
      <c r="D110" s="438" t="str">
        <f t="shared" si="12"/>
        <v>0,00%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3"/>
        <v>0</v>
      </c>
      <c r="D111" s="438" t="str">
        <f t="shared" si="12"/>
        <v>0,00%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3"/>
        <v>0</v>
      </c>
      <c r="D112" s="438" t="str">
        <f t="shared" si="12"/>
        <v>0,00%</v>
      </c>
      <c r="E112" s="317">
        <v>3.00036758032117</v>
      </c>
      <c r="F112"/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3"/>
        <v>0</v>
      </c>
      <c r="D113" s="438" t="str">
        <f t="shared" si="12"/>
        <v>0,00%</v>
      </c>
      <c r="E113" s="317">
        <v>4.0003675803211696</v>
      </c>
      <c r="F113"/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3"/>
        <v>0</v>
      </c>
      <c r="D114" s="438" t="str">
        <f t="shared" si="12"/>
        <v>0,00%</v>
      </c>
      <c r="E114" s="317">
        <v>5.0003675803211696</v>
      </c>
      <c r="F114"/>
      <c r="H114" s="284"/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3"/>
        <v>0</v>
      </c>
      <c r="D115" s="438" t="str">
        <f t="shared" si="12"/>
        <v>0,00%</v>
      </c>
      <c r="E115" s="317">
        <v>6.0003675803211696</v>
      </c>
      <c r="F115"/>
      <c r="I115" s="246"/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3"/>
        <v>0</v>
      </c>
      <c r="D116" s="438" t="str">
        <f t="shared" si="12"/>
        <v>0,00%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3"/>
        <v>0</v>
      </c>
      <c r="D117" s="438" t="str">
        <f t="shared" si="12"/>
        <v>0,00%</v>
      </c>
      <c r="E117" s="317">
        <v>8.0003675803211696</v>
      </c>
      <c r="F117"/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3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3"/>
        <v>0</v>
      </c>
      <c r="D119" s="438" t="str">
        <f t="shared" si="12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3"/>
        <v>0</v>
      </c>
      <c r="D120" s="438" t="str">
        <f t="shared" si="12"/>
        <v>0,00%</v>
      </c>
      <c r="E120" s="317" t="e">
        <f>#REF!</f>
        <v>#REF!</v>
      </c>
      <c r="F120"/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3"/>
        <v>0</v>
      </c>
      <c r="D121" s="438" t="str">
        <f t="shared" si="12"/>
        <v>0,00%</v>
      </c>
      <c r="E121" s="317" t="e">
        <f>#REF!</f>
        <v>#REF!</v>
      </c>
      <c r="F121"/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3"/>
        <v>0</v>
      </c>
      <c r="D122" s="438" t="str">
        <f t="shared" si="12"/>
        <v>0,00%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3"/>
        <v>0</v>
      </c>
      <c r="D123" s="438" t="str">
        <f t="shared" si="12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 t="str">
        <f t="shared" si="12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 t="str">
        <f t="shared" si="12"/>
        <v>0,00%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 t="str">
        <f t="shared" si="12"/>
        <v>0,00%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 t="str">
        <f t="shared" si="12"/>
        <v>0,00%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 t="str">
        <f t="shared" si="12"/>
        <v>0,00%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 t="str">
        <f t="shared" si="12"/>
        <v>0,00%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 t="str">
        <f t="shared" si="12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4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5">H133+I133+J133</f>
        <v>0</v>
      </c>
      <c r="D133" s="438" t="str">
        <f t="shared" si="14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5"/>
        <v>0</v>
      </c>
      <c r="D134" s="438" t="str">
        <f t="shared" si="14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5"/>
        <v>0</v>
      </c>
      <c r="D135" s="438" t="str">
        <f t="shared" si="14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5"/>
        <v>0</v>
      </c>
      <c r="D136" s="438" t="str">
        <f t="shared" si="14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5"/>
        <v>0</v>
      </c>
      <c r="D137" s="438" t="str">
        <f t="shared" si="14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5"/>
        <v>0</v>
      </c>
      <c r="D138" s="438" t="str">
        <f t="shared" si="14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5"/>
        <v>0</v>
      </c>
      <c r="D139" s="438" t="str">
        <f t="shared" si="14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hidden="1" x14ac:dyDescent="0.25">
      <c r="B140" s="437" t="str">
        <f>Fluxo_de_Caixa_Janeiro[[#This Row],[Fluxo de Caixa 2026 CTR]]</f>
        <v>3.3.09. Viagens e Estadias - CPD</v>
      </c>
      <c r="C140" s="62"/>
      <c r="D140" s="438" t="str">
        <f t="shared" si="14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 t="str">
        <f t="shared" si="14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 t="str">
        <f t="shared" si="14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 t="str">
        <f t="shared" si="14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 t="str">
        <f t="shared" si="14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6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7">H147+I147+J147</f>
        <v>0</v>
      </c>
      <c r="D147" s="438" t="str">
        <f t="shared" si="16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7"/>
        <v>0</v>
      </c>
      <c r="D148" s="438" t="str">
        <f t="shared" si="16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7"/>
        <v>0</v>
      </c>
      <c r="D149" s="438" t="str">
        <f t="shared" si="16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7"/>
        <v>0</v>
      </c>
      <c r="D150" s="438" t="str">
        <f t="shared" si="16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7"/>
        <v>0</v>
      </c>
      <c r="D151" s="438" t="str">
        <f t="shared" si="16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7"/>
        <v>0</v>
      </c>
      <c r="D152" s="438" t="str">
        <f t="shared" si="16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7"/>
        <v>0</v>
      </c>
      <c r="D153" s="438" t="str">
        <f t="shared" si="16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7"/>
        <v>0</v>
      </c>
      <c r="D154" s="438" t="str">
        <f t="shared" si="16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7"/>
        <v>0</v>
      </c>
      <c r="D155" s="438" t="str">
        <f t="shared" si="16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 t="str">
        <f t="shared" si="16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 t="str">
        <f t="shared" si="16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7"/>
        <v>0</v>
      </c>
      <c r="D158" s="438" t="str">
        <f t="shared" si="16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7"/>
        <v>0</v>
      </c>
      <c r="D159" s="438" t="str">
        <f t="shared" si="16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 t="str">
        <f t="shared" si="16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7"/>
        <v>0</v>
      </c>
      <c r="D161" s="438" t="str">
        <f t="shared" si="16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 t="str">
        <f t="shared" si="16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7"/>
        <v>0</v>
      </c>
      <c r="D163" s="438" t="str">
        <f t="shared" si="16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 t="str">
        <f t="shared" si="16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 t="str">
        <f t="shared" si="16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 t="str">
        <f t="shared" si="16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8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0</v>
      </c>
      <c r="D169" s="438" t="str">
        <f t="shared" si="18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9"/>
        <v>0</v>
      </c>
      <c r="D170" s="438" t="str">
        <f t="shared" si="18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9"/>
        <v>0</v>
      </c>
      <c r="D171" s="438" t="str">
        <f t="shared" si="18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9"/>
        <v>0</v>
      </c>
      <c r="D172" s="438" t="str">
        <f t="shared" si="18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 t="str">
        <f t="shared" si="18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9"/>
        <v>0</v>
      </c>
      <c r="D174" s="438" t="str">
        <f t="shared" si="18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9"/>
        <v>0</v>
      </c>
      <c r="D175" s="438" t="str">
        <f t="shared" si="18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 t="str">
        <f t="shared" si="18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9"/>
        <v>0</v>
      </c>
      <c r="D177" s="438" t="str">
        <f t="shared" si="18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 t="str">
        <f t="shared" si="18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 t="str">
        <f t="shared" si="18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 t="str">
        <f t="shared" si="18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 t="str">
        <f t="shared" si="18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20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1">H184+I184+J184</f>
        <v>0</v>
      </c>
      <c r="D184" s="438" t="str">
        <f t="shared" si="20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 t="str">
        <f t="shared" si="20"/>
        <v>0,00%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1"/>
        <v>0</v>
      </c>
      <c r="D186" s="438" t="str">
        <f t="shared" si="20"/>
        <v>0,00%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 t="str">
        <f t="shared" si="20"/>
        <v>0,00%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1"/>
        <v>0</v>
      </c>
      <c r="D188" s="438" t="str">
        <f t="shared" si="20"/>
        <v>0,00%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1"/>
        <v>0</v>
      </c>
      <c r="D189" s="438" t="str">
        <f t="shared" si="20"/>
        <v>0,00%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1"/>
        <v>0</v>
      </c>
      <c r="D190" s="438" t="str">
        <f t="shared" si="20"/>
        <v>0,00%</v>
      </c>
      <c r="E190" s="317">
        <v>-6</v>
      </c>
      <c r="F190"/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 t="str">
        <f t="shared" si="20"/>
        <v>0,00%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1"/>
        <v>0</v>
      </c>
      <c r="D192" s="438" t="str">
        <f t="shared" si="20"/>
        <v>0,00%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1"/>
        <v>0</v>
      </c>
      <c r="D193" s="438" t="str">
        <f t="shared" si="20"/>
        <v>0,00%</v>
      </c>
      <c r="E193" s="317">
        <v>-3</v>
      </c>
      <c r="F193"/>
      <c r="I193" s="246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 t="str">
        <f t="shared" si="20"/>
        <v>0,00%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1"/>
        <v>0</v>
      </c>
      <c r="D195" s="438" t="str">
        <f t="shared" si="20"/>
        <v>0,00%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 t="str">
        <f t="shared" si="20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 t="str">
        <f t="shared" si="20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 t="str">
        <f t="shared" si="20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 t="str">
        <f t="shared" si="20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2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0</v>
      </c>
      <c r="D202" s="438" t="str">
        <f t="shared" si="22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 t="str">
        <f t="shared" si="22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3"/>
        <v>0</v>
      </c>
      <c r="D204" s="438" t="str">
        <f t="shared" si="22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 t="str">
        <f t="shared" si="22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3"/>
        <v>0</v>
      </c>
      <c r="D206" s="438" t="str">
        <f t="shared" si="22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3"/>
        <v>0</v>
      </c>
      <c r="D207" s="438" t="str">
        <f t="shared" si="22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3"/>
        <v>0</v>
      </c>
      <c r="D208" s="438" t="str">
        <f t="shared" si="22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 t="str">
        <f t="shared" si="22"/>
        <v>0,00%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 t="str">
        <f t="shared" si="22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 t="str">
        <f t="shared" si="22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 t="str">
        <f t="shared" ref="D213:D230" si="24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 t="str">
        <f t="shared" si="24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4"/>
        <v>0,00%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5">H216+I216+J216</f>
        <v>0</v>
      </c>
      <c r="D216" s="438" t="str">
        <f t="shared" si="24"/>
        <v>0,00%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5"/>
        <v>0</v>
      </c>
      <c r="D217" s="438" t="str">
        <f t="shared" si="24"/>
        <v>0,00%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5"/>
        <v>0</v>
      </c>
      <c r="D218" s="438" t="str">
        <f t="shared" si="24"/>
        <v>0,00%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5"/>
        <v>0</v>
      </c>
      <c r="D219" s="438" t="str">
        <f t="shared" si="24"/>
        <v>0,00%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 t="str">
        <f t="shared" si="24"/>
        <v>0,00%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 t="str">
        <f t="shared" si="24"/>
        <v>0,00%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 t="str">
        <f t="shared" si="24"/>
        <v>0,00%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 t="str">
        <f t="shared" si="24"/>
        <v>0,00%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 t="str">
        <f t="shared" si="24"/>
        <v>0,00%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 t="str">
        <f t="shared" si="24"/>
        <v>0,00%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5"/>
        <v>0</v>
      </c>
      <c r="D226" s="438" t="str">
        <f t="shared" si="24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5"/>
        <v>0</v>
      </c>
      <c r="D227" s="438" t="str">
        <f t="shared" si="24"/>
        <v>0,00%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5"/>
        <v>0</v>
      </c>
      <c r="D228" s="438" t="str">
        <f t="shared" si="24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 t="str">
        <f t="shared" si="24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 t="str">
        <f t="shared" si="24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6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6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 t="str">
        <f t="shared" si="26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 t="str">
        <f t="shared" si="26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6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6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7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7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7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9"/>
        <v>0</v>
      </c>
      <c r="D254" s="420" t="str">
        <f t="shared" si="27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t="16.5" hidden="1" customHeight="1" x14ac:dyDescent="0.25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7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hidden="1" x14ac:dyDescent="0.25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30"/>
        <v>0</v>
      </c>
      <c r="D268" s="420" t="str">
        <f t="shared" si="27"/>
        <v>0,00%</v>
      </c>
      <c r="E268" s="325" t="e">
        <f>#REF!</f>
        <v>#REF!</v>
      </c>
      <c r="F268"/>
      <c r="I268" s="246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30"/>
        <v>0</v>
      </c>
      <c r="D269" s="420" t="str">
        <f t="shared" si="27"/>
        <v>0,00%</v>
      </c>
      <c r="E269" s="325" t="e">
        <f>#REF!</f>
        <v>#REF!</v>
      </c>
      <c r="F269"/>
      <c r="I269" s="246"/>
      <c r="J269" s="246"/>
    </row>
    <row r="270" spans="2:10" ht="15.75" thickBot="1" x14ac:dyDescent="0.3">
      <c r="B270" s="419" t="str">
        <f>Fluxo_de_Caixa_Janeiro[[#This Row],[Fluxo de Caixa 2026 CTR]]</f>
        <v>4.3.09. PATROCÍNIO  EM DINHEIRO</v>
      </c>
      <c r="C270" s="62">
        <f t="shared" si="30"/>
        <v>0</v>
      </c>
      <c r="D270" s="420" t="str">
        <f t="shared" si="27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hidden="1" thickBot="1" x14ac:dyDescent="0.3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1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 t="str">
        <f t="shared" si="31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 t="str">
        <f t="shared" si="31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2"/>
        <v>0</v>
      </c>
      <c r="D277" s="450" t="str">
        <f t="shared" si="31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 t="str">
        <f t="shared" si="31"/>
        <v>0,00%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 t="str">
        <f t="shared" si="31"/>
        <v>0,00%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 t="str">
        <f t="shared" si="31"/>
        <v>0,00%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 t="str">
        <f t="shared" si="31"/>
        <v>0,00%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 t="str">
        <f t="shared" si="31"/>
        <v>0,00%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 t="str">
        <f t="shared" si="31"/>
        <v>0,00%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 t="str">
        <f t="shared" si="31"/>
        <v>0,00%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 t="str">
        <f t="shared" si="31"/>
        <v>0,00%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 t="str">
        <f t="shared" si="31"/>
        <v>0,00%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 t="str">
        <f t="shared" si="31"/>
        <v>0,00%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 t="str">
        <f t="shared" si="31"/>
        <v>0,00%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 t="str">
        <f t="shared" si="31"/>
        <v>0,00%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 t="str">
        <f t="shared" si="31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 t="str">
        <f t="shared" si="31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 t="str">
        <f t="shared" si="31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 t="str">
        <f t="shared" si="31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3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 t="str">
        <f t="shared" si="33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4"/>
        <v>0</v>
      </c>
      <c r="D297" s="450" t="str">
        <f t="shared" si="33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4"/>
        <v>0</v>
      </c>
      <c r="D298" s="450" t="str">
        <f t="shared" si="33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4"/>
        <v>0</v>
      </c>
      <c r="D299" s="450" t="str">
        <f t="shared" si="33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4"/>
        <v>0</v>
      </c>
      <c r="D300" s="450" t="str">
        <f t="shared" si="33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 t="str">
        <f t="shared" si="33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 t="str">
        <f t="shared" si="33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 t="str">
        <f t="shared" si="33"/>
        <v>0,00%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 t="str">
        <f t="shared" si="33"/>
        <v>0,00%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4"/>
        <v>0</v>
      </c>
      <c r="D305" s="450" t="str">
        <f t="shared" si="33"/>
        <v>0,00%</v>
      </c>
      <c r="E305" s="329" t="e">
        <f>#REF!</f>
        <v>#REF!</v>
      </c>
      <c r="F305"/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 t="str">
        <f t="shared" si="33"/>
        <v>0,00%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 t="str">
        <f t="shared" si="33"/>
        <v>0,00%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 t="str">
        <f t="shared" si="33"/>
        <v>0,00%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 t="str">
        <f t="shared" si="33"/>
        <v>0,00%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 t="str">
        <f t="shared" si="33"/>
        <v>0,00%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 t="str">
        <f t="shared" si="33"/>
        <v>0,00%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5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0</v>
      </c>
      <c r="D317" s="450" t="str">
        <f t="shared" si="35"/>
        <v>0,00%</v>
      </c>
      <c r="E317" s="329" t="e">
        <f>#REF!</f>
        <v>#REF!</v>
      </c>
      <c r="F317"/>
      <c r="I317" s="246"/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6"/>
        <v>0</v>
      </c>
      <c r="D318" s="450" t="str">
        <f t="shared" si="35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 t="str">
        <f t="shared" si="35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 t="str">
        <f t="shared" si="35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 t="str">
        <f t="shared" si="35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7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7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7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7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 t="str">
        <f t="shared" si="37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 t="str">
        <f t="shared" si="37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 t="str">
        <f t="shared" si="37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SUBTOTAL(109,C337:C359)</f>
        <v>0</v>
      </c>
      <c r="D336" s="412">
        <f>SUM(D337:D351)</f>
        <v>0</v>
      </c>
      <c r="E336" s="336">
        <v>1</v>
      </c>
      <c r="F336" s="34"/>
      <c r="I336" s="246"/>
    </row>
    <row r="337" spans="2:9" x14ac:dyDescent="0.25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25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8">IFERROR(C338/$C$336,"0,00%")</f>
        <v>0,00%</v>
      </c>
      <c r="E338" s="337">
        <v>0.33251761890884102</v>
      </c>
      <c r="F338" s="34"/>
      <c r="H338" s="246">
        <f t="shared" ref="H338:H360" si="39">C4</f>
        <v>0</v>
      </c>
      <c r="I338" s="246"/>
    </row>
    <row r="339" spans="2:9" hidden="1" x14ac:dyDescent="0.25">
      <c r="B339" s="413">
        <f>Fluxo_de_Caixa_Janeiro[[#This Row],[Fluxo de Caixa 2026 CTR]]</f>
        <v>0</v>
      </c>
      <c r="C339" s="62"/>
      <c r="D339" s="414" t="str">
        <f t="shared" si="38"/>
        <v>0,00%</v>
      </c>
      <c r="E339" s="337">
        <v>0.31943681701513732</v>
      </c>
      <c r="F339" s="34"/>
      <c r="H339" s="246">
        <f t="shared" si="39"/>
        <v>0</v>
      </c>
      <c r="I339" s="246"/>
    </row>
    <row r="340" spans="2:9" x14ac:dyDescent="0.25">
      <c r="B340" s="413" t="str">
        <f>Fluxo_de_Caixa_Janeiro[[#This Row],[Fluxo de Caixa 2026 CTR]]</f>
        <v>1.2-BRADESCO 15232-3 MATRIZ</v>
      </c>
      <c r="C340" s="62"/>
      <c r="D340" s="414" t="str">
        <f t="shared" si="38"/>
        <v>0,00%</v>
      </c>
      <c r="E340" s="337">
        <v>0</v>
      </c>
      <c r="F340" s="34"/>
      <c r="H340" s="246">
        <f t="shared" si="39"/>
        <v>0</v>
      </c>
      <c r="I340" s="246"/>
    </row>
    <row r="341" spans="2:9" x14ac:dyDescent="0.25">
      <c r="B341" s="413">
        <f>Fluxo_de_Caixa_Janeiro[[#This Row],[Fluxo de Caixa 2026 CTR]]</f>
        <v>0</v>
      </c>
      <c r="C341" s="62"/>
      <c r="D341" s="414" t="str">
        <f t="shared" si="38"/>
        <v>0,00%</v>
      </c>
      <c r="E341" s="337">
        <v>1.4395773294013838E-2</v>
      </c>
      <c r="F341" s="34"/>
      <c r="H341" s="246">
        <f t="shared" si="39"/>
        <v>0</v>
      </c>
      <c r="I341" s="246"/>
    </row>
    <row r="342" spans="2:9" x14ac:dyDescent="0.25">
      <c r="B342" s="413" t="str">
        <f>Fluxo_de_Caixa_Janeiro[[#This Row],[Fluxo de Caixa 2026 CTR]]</f>
        <v>1.3 - BANCO STONE MATRIZ C.C 40256726-7</v>
      </c>
      <c r="C342" s="62"/>
      <c r="D342" s="414" t="str">
        <f t="shared" si="38"/>
        <v>0,00%</v>
      </c>
      <c r="E342" s="337">
        <v>1.1641126229335877E-2</v>
      </c>
      <c r="F342" s="34"/>
      <c r="H342" s="246">
        <f>C8</f>
        <v>0</v>
      </c>
      <c r="I342" s="246"/>
    </row>
    <row r="343" spans="2:9" x14ac:dyDescent="0.25">
      <c r="B343" s="413" t="str">
        <f>Fluxo_de_Caixa_Janeiro[[#This Row],[Fluxo de Caixa 2026 CTR]]</f>
        <v>1.4 - BANCO DA AMAZONIA 071730-7 MATRIZ</v>
      </c>
      <c r="C343" s="62"/>
      <c r="D343" s="414" t="str">
        <f t="shared" si="38"/>
        <v>0,00%</v>
      </c>
      <c r="E343" s="337">
        <v>2.4641733370120961E-2</v>
      </c>
      <c r="F343" s="34"/>
      <c r="H343" s="246">
        <f t="shared" si="39"/>
        <v>0</v>
      </c>
      <c r="I343" s="246"/>
    </row>
    <row r="344" spans="2:9" x14ac:dyDescent="0.25">
      <c r="B344" s="413" t="str">
        <f>Fluxo_de_Caixa_Janeiro[[#This Row],[Fluxo de Caixa 2026 CTR]]</f>
        <v>1.4.1.INVESTIMENTO CDBORE RCP TXFL</v>
      </c>
      <c r="C344" s="62"/>
      <c r="D344" s="414" t="str">
        <f t="shared" si="38"/>
        <v>0,00%</v>
      </c>
      <c r="E344" s="337">
        <v>0</v>
      </c>
      <c r="F344" s="34"/>
      <c r="H344" s="246">
        <f t="shared" si="39"/>
        <v>0</v>
      </c>
      <c r="I344" s="246"/>
    </row>
    <row r="345" spans="2:9" ht="12.75" customHeight="1" x14ac:dyDescent="0.25">
      <c r="B345" s="413" t="str">
        <f>Fluxo_de_Caixa_Janeiro[[#This Row],[Fluxo de Caixa 2026 CTR]]</f>
        <v>1.5 -  ITAU C.C.98671-6 MATRIZ</v>
      </c>
      <c r="C345" s="62"/>
      <c r="D345" s="414" t="str">
        <f t="shared" si="38"/>
        <v>0,00%</v>
      </c>
      <c r="E345" s="337">
        <v>0</v>
      </c>
      <c r="F345" s="34"/>
      <c r="H345" s="246">
        <f t="shared" si="39"/>
        <v>0</v>
      </c>
      <c r="I345" s="246"/>
    </row>
    <row r="346" spans="2:9" x14ac:dyDescent="0.25">
      <c r="B346" s="413" t="str">
        <f>Fluxo_de_Caixa_Janeiro[[#This Row],[Fluxo de Caixa 2026 CTR]]</f>
        <v>1.5.03. ITAU C.C 83290-2 GARANTIDA</v>
      </c>
      <c r="C346" s="62"/>
      <c r="D346" s="414" t="str">
        <f t="shared" si="38"/>
        <v>0,00%</v>
      </c>
      <c r="E346" s="337">
        <v>0</v>
      </c>
      <c r="F346" s="34"/>
      <c r="H346" s="246">
        <f t="shared" si="39"/>
        <v>0</v>
      </c>
      <c r="I346" s="246"/>
    </row>
    <row r="347" spans="2:9" x14ac:dyDescent="0.25">
      <c r="B347" s="413" t="str">
        <f>Fluxo_de_Caixa_Janeiro[[#This Row],[Fluxo de Caixa 2026 CTR]]</f>
        <v>1.9 - CONTA PERDA/ROUBO/BONIFICAÇÃO E DOAÇÃO</v>
      </c>
      <c r="C347" s="62"/>
      <c r="D347" s="414" t="str">
        <f t="shared" si="38"/>
        <v>0,00%</v>
      </c>
      <c r="E347" s="337">
        <v>4.031448971430979E-3</v>
      </c>
      <c r="H347" s="246">
        <f t="shared" si="39"/>
        <v>0</v>
      </c>
      <c r="I347" s="246"/>
    </row>
    <row r="348" spans="2:9" x14ac:dyDescent="0.25">
      <c r="B348" s="413">
        <f>Fluxo_de_Caixa_Janeiro[[#This Row],[Fluxo de Caixa 2026 CTR]]</f>
        <v>0</v>
      </c>
      <c r="C348" s="62"/>
      <c r="D348" s="414" t="str">
        <f t="shared" si="38"/>
        <v>0,00%</v>
      </c>
      <c r="E348" s="337" t="e">
        <f>#REF!</f>
        <v>#REF!</v>
      </c>
      <c r="H348" s="246">
        <f t="shared" si="39"/>
        <v>0</v>
      </c>
      <c r="I348" s="246"/>
    </row>
    <row r="349" spans="2:9" x14ac:dyDescent="0.25">
      <c r="B349" s="413" t="str">
        <f>Fluxo_de_Caixa_Janeiro[[#This Row],[Fluxo de Caixa 2026 CTR]]</f>
        <v>2.1 - BANCO DO BRASIL C.C.60638-3 FILIAL PALMAS</v>
      </c>
      <c r="C349" s="62"/>
      <c r="D349" s="414" t="str">
        <f t="shared" si="38"/>
        <v>0,00%</v>
      </c>
      <c r="E349" s="337" t="e">
        <f>#REF!</f>
        <v>#REF!</v>
      </c>
      <c r="H349" s="246">
        <f t="shared" si="39"/>
        <v>0</v>
      </c>
      <c r="I349" s="246"/>
    </row>
    <row r="350" spans="2:9" x14ac:dyDescent="0.25">
      <c r="B350" s="413">
        <f>Fluxo_de_Caixa_Janeiro[[#This Row],[Fluxo de Caixa 2026 CTR]]</f>
        <v>0</v>
      </c>
      <c r="C350" s="62"/>
      <c r="D350" s="414" t="str">
        <f t="shared" si="38"/>
        <v>0,00%</v>
      </c>
      <c r="E350" s="337" t="e">
        <f>#REF!</f>
        <v>#REF!</v>
      </c>
      <c r="H350" s="246">
        <f t="shared" si="39"/>
        <v>0</v>
      </c>
      <c r="I350" s="246"/>
    </row>
    <row r="351" spans="2:9" x14ac:dyDescent="0.25">
      <c r="B351" s="413">
        <f>Fluxo_de_Caixa_Janeiro[[#This Row],[Fluxo de Caixa 2026 CTR]]</f>
        <v>0</v>
      </c>
      <c r="C351" s="62"/>
      <c r="D351" s="414" t="str">
        <f t="shared" si="38"/>
        <v>0,00%</v>
      </c>
      <c r="E351" s="337" t="e">
        <f>#REF!</f>
        <v>#REF!</v>
      </c>
      <c r="H351" s="246">
        <f t="shared" si="39"/>
        <v>0</v>
      </c>
      <c r="I351" s="246"/>
    </row>
    <row r="352" spans="2:9" x14ac:dyDescent="0.25">
      <c r="B352" s="413" t="str">
        <f>Fluxo_de_Caixa_Janeiro[[#This Row],[Fluxo de Caixa 2026 CTR]]</f>
        <v>2.4 - ITAU C.C.98669-0 FILIAL PALMAS</v>
      </c>
      <c r="C352" s="62"/>
      <c r="D352" s="414" t="str">
        <f t="shared" si="38"/>
        <v>0,00%</v>
      </c>
      <c r="E352" s="617" t="e">
        <f>#REF!</f>
        <v>#REF!</v>
      </c>
      <c r="H352" s="246">
        <f t="shared" si="39"/>
        <v>0</v>
      </c>
      <c r="I352" s="246"/>
    </row>
    <row r="353" spans="2:9" x14ac:dyDescent="0.25">
      <c r="B353" s="413" t="str">
        <f>Fluxo_de_Caixa_Janeiro[[#This Row],[Fluxo de Caixa 2026 CTR]]</f>
        <v>2.9 - CONTA PERDA/ROUBO E BONIFICAÇÃO FILIAL</v>
      </c>
      <c r="C353" s="62"/>
      <c r="D353" s="414" t="str">
        <f t="shared" si="38"/>
        <v>0,00%</v>
      </c>
      <c r="E353" s="617" t="e">
        <f>#REF!</f>
        <v>#REF!</v>
      </c>
      <c r="H353" s="246">
        <f t="shared" si="39"/>
        <v>0</v>
      </c>
      <c r="I353" s="246">
        <v>31123.93</v>
      </c>
    </row>
    <row r="354" spans="2:9" x14ac:dyDescent="0.25">
      <c r="B354" s="413" t="str">
        <f>Fluxo_de_Caixa_Janeiro[[#This Row],[Fluxo de Caixa 2026 CTR]]</f>
        <v>4.0 - TESOURARIA FILIAL PORTO</v>
      </c>
      <c r="C354" s="62"/>
      <c r="D354" s="414" t="str">
        <f t="shared" si="38"/>
        <v>0,00%</v>
      </c>
      <c r="E354" s="617" t="e">
        <f>#REF!</f>
        <v>#REF!</v>
      </c>
      <c r="H354" s="246">
        <f t="shared" si="39"/>
        <v>0</v>
      </c>
      <c r="I354" s="246"/>
    </row>
    <row r="355" spans="2:9" x14ac:dyDescent="0.25">
      <c r="B355" s="413" t="str">
        <f>Fluxo_de_Caixa_Janeiro[[#This Row],[Fluxo de Caixa 2026 CTR]]</f>
        <v>4.1 -  BANCO DO BRASIL C.C.61105-0 FILIAL PORTO</v>
      </c>
      <c r="C355" s="62"/>
      <c r="D355" s="414" t="str">
        <f t="shared" si="38"/>
        <v>0,00%</v>
      </c>
      <c r="E355" s="617" t="e">
        <f>#REF!</f>
        <v>#REF!</v>
      </c>
      <c r="H355" s="246">
        <f t="shared" si="39"/>
        <v>0</v>
      </c>
      <c r="I355" s="246"/>
    </row>
    <row r="356" spans="2:9" x14ac:dyDescent="0.25">
      <c r="B356" s="413">
        <f>Fluxo_de_Caixa_Janeiro[[#This Row],[Fluxo de Caixa 2026 CTR]]</f>
        <v>0</v>
      </c>
      <c r="C356" s="62"/>
      <c r="D356" s="414" t="str">
        <f t="shared" si="38"/>
        <v>0,00%</v>
      </c>
      <c r="E356" s="617" t="e">
        <f>#REF!</f>
        <v>#REF!</v>
      </c>
      <c r="H356" s="246">
        <f t="shared" si="39"/>
        <v>0</v>
      </c>
      <c r="I356" s="246"/>
    </row>
    <row r="357" spans="2:9" x14ac:dyDescent="0.25">
      <c r="B357" s="413" t="str">
        <f>Fluxo_de_Caixa_Janeiro[[#This Row],[Fluxo de Caixa 2026 CTR]]</f>
        <v>4.4 - MERCADO PAGO PIX FILIAL PORTO</v>
      </c>
      <c r="C357" s="62"/>
      <c r="D357" s="414" t="str">
        <f t="shared" si="38"/>
        <v>0,00%</v>
      </c>
      <c r="E357" s="617" t="e">
        <f>#REF!</f>
        <v>#REF!</v>
      </c>
      <c r="H357" s="246">
        <f t="shared" si="39"/>
        <v>0</v>
      </c>
      <c r="I357" s="246"/>
    </row>
    <row r="358" spans="2:9" x14ac:dyDescent="0.25">
      <c r="B358" s="413" t="str">
        <f>Fluxo_de_Caixa_Janeiro[[#This Row],[Fluxo de Caixa 2026 CTR]]</f>
        <v>4.9 - CONTA PERDA/ROUBO E BONIFICAÇÃO FILIAL</v>
      </c>
      <c r="C358" s="62"/>
      <c r="D358" s="414" t="str">
        <f t="shared" si="38"/>
        <v>0,00%</v>
      </c>
      <c r="E358" s="617" t="e">
        <f>#REF!</f>
        <v>#REF!</v>
      </c>
      <c r="H358" s="246">
        <f t="shared" si="39"/>
        <v>0</v>
      </c>
      <c r="I358" s="246"/>
    </row>
    <row r="359" spans="2:9" x14ac:dyDescent="0.25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8"/>
        <v>0,00%</v>
      </c>
      <c r="E359" s="617" t="e">
        <f>#REF!</f>
        <v>#REF!</v>
      </c>
      <c r="H359" s="246">
        <f t="shared" si="39"/>
        <v>0</v>
      </c>
      <c r="I359" s="246"/>
    </row>
    <row r="360" spans="2:9" hidden="1" x14ac:dyDescent="0.25">
      <c r="B360" s="413">
        <f>Fluxo_de_Caixa_Janeiro[[#This Row],[Fluxo de Caixa 2026 CTR]]</f>
        <v>0</v>
      </c>
      <c r="C360" s="62"/>
      <c r="D360" s="414" t="str">
        <f t="shared" si="38"/>
        <v>0,00%</v>
      </c>
      <c r="E360" s="617" t="e">
        <f>#REF!</f>
        <v>#REF!</v>
      </c>
      <c r="H360" s="246">
        <f t="shared" si="39"/>
        <v>0</v>
      </c>
      <c r="I360" s="246"/>
    </row>
    <row r="361" spans="2:9" ht="24" thickBot="1" x14ac:dyDescent="0.4">
      <c r="B361" s="463"/>
      <c r="C361" s="464">
        <f>SUM(C337:C359)-C335</f>
        <v>0</v>
      </c>
      <c r="D361" s="465" t="str">
        <f>IFERROR(C361/C336,"0,00%")</f>
        <v>0,00%</v>
      </c>
      <c r="E361" s="338" t="e">
        <f>#REF!</f>
        <v>#REF!</v>
      </c>
      <c r="I361" s="246"/>
    </row>
    <row r="362" spans="2:9" x14ac:dyDescent="0.25"/>
    <row r="363" spans="2:9" x14ac:dyDescent="0.25"/>
    <row r="365" spans="2:9" x14ac:dyDescent="0.25"/>
    <row r="366" spans="2:9" x14ac:dyDescent="0.25"/>
    <row r="367" spans="2:9" x14ac:dyDescent="0.25"/>
    <row r="369" x14ac:dyDescent="0.25"/>
    <row r="370" x14ac:dyDescent="0.25"/>
    <row r="372" x14ac:dyDescent="0.25"/>
    <row r="373" x14ac:dyDescent="0.25"/>
    <row r="374" x14ac:dyDescent="0.25"/>
    <row r="376" x14ac:dyDescent="0.25"/>
    <row r="377" x14ac:dyDescent="0.25"/>
    <row r="378" x14ac:dyDescent="0.25"/>
    <row r="379" x14ac:dyDescent="0.25"/>
    <row r="381" x14ac:dyDescent="0.25"/>
    <row r="382" x14ac:dyDescent="0.25"/>
    <row r="383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2" x14ac:dyDescent="0.25"/>
    <row r="393" x14ac:dyDescent="0.25"/>
    <row r="394" x14ac:dyDescent="0.25"/>
    <row r="395" x14ac:dyDescent="0.25"/>
    <row r="397" x14ac:dyDescent="0.25"/>
    <row r="398" x14ac:dyDescent="0.25"/>
    <row r="399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</sheetData>
  <protectedRanges>
    <protectedRange sqref="C3:C26" name="Intervalo1"/>
    <protectedRange sqref="C344:C360" name="Saldo Final de Banco_2"/>
    <protectedRange sqref="C337:C343" name="Saldo Final de Banco_1_1"/>
  </protectedRanges>
  <conditionalFormatting sqref="C86">
    <cfRule type="cellIs" dxfId="214" priority="1" operator="lessThan">
      <formula>0</formula>
    </cfRule>
  </conditionalFormatting>
  <conditionalFormatting sqref="C237">
    <cfRule type="cellIs" dxfId="213" priority="2" operator="greaterThan">
      <formula>0</formula>
    </cfRule>
    <cfRule type="cellIs" dxfId="212" priority="3" operator="lessThan">
      <formula>0</formula>
    </cfRule>
    <cfRule type="cellIs" dxfId="211" priority="4" operator="greaterThan">
      <formula>0</formula>
    </cfRule>
  </conditionalFormatting>
  <conditionalFormatting sqref="C334">
    <cfRule type="cellIs" dxfId="210" priority="5" operator="lessThan">
      <formula>0</formula>
    </cfRule>
    <cfRule type="cellIs" dxfId="209" priority="6" operator="greaterThan">
      <formula>0</formula>
    </cfRule>
  </conditionalFormatting>
  <conditionalFormatting sqref="C335">
    <cfRule type="cellIs" dxfId="208" priority="7" operator="lessThan">
      <formula>0</formula>
    </cfRule>
    <cfRule type="cellIs" dxfId="207" priority="8" operator="greaterThan">
      <formula>0.001</formula>
    </cfRule>
    <cfRule type="cellIs" dxfId="206" priority="9" operator="lessThan">
      <formula>0</formula>
    </cfRule>
    <cfRule type="cellIs" dxfId="205" priority="10" operator="greaterThan">
      <formula>0</formula>
    </cfRule>
    <cfRule type="aboveAverage" dxfId="204" priority="11" aboveAverage="0"/>
  </conditionalFormatting>
  <conditionalFormatting sqref="D86">
    <cfRule type="cellIs" dxfId="203" priority="29" operator="lessThan">
      <formula>0</formula>
    </cfRule>
  </conditionalFormatting>
  <conditionalFormatting sqref="D237 D334">
    <cfRule type="cellIs" dxfId="202" priority="36" operator="greaterThan">
      <formula>0</formula>
    </cfRule>
  </conditionalFormatting>
  <conditionalFormatting sqref="D237">
    <cfRule type="cellIs" dxfId="201" priority="32" operator="lessThan">
      <formula>0</formula>
    </cfRule>
    <cfRule type="cellIs" dxfId="200" priority="31" operator="greaterThan">
      <formula>0</formula>
    </cfRule>
  </conditionalFormatting>
  <conditionalFormatting sqref="D334">
    <cfRule type="cellIs" dxfId="199" priority="35" operator="lessThan">
      <formula>0</formula>
    </cfRule>
  </conditionalFormatting>
  <conditionalFormatting sqref="D335">
    <cfRule type="cellIs" dxfId="198" priority="34" operator="greaterThan">
      <formula>0</formula>
    </cfRule>
    <cfRule type="cellIs" dxfId="197" priority="33" operator="lessThan">
      <formula>0</formula>
    </cfRule>
    <cfRule type="cellIs" dxfId="196" priority="30" operator="greaterThan">
      <formula>0</formula>
    </cfRule>
    <cfRule type="aboveAverage" dxfId="195" priority="37" aboveAverage="0"/>
  </conditionalFormatting>
  <conditionalFormatting sqref="E86">
    <cfRule type="cellIs" dxfId="194" priority="20" operator="lessThan">
      <formula>0</formula>
    </cfRule>
  </conditionalFormatting>
  <conditionalFormatting sqref="E237 E334">
    <cfRule type="cellIs" dxfId="193" priority="27" operator="greaterThan">
      <formula>0</formula>
    </cfRule>
  </conditionalFormatting>
  <conditionalFormatting sqref="E237">
    <cfRule type="cellIs" dxfId="192" priority="23" operator="lessThan">
      <formula>0</formula>
    </cfRule>
    <cfRule type="cellIs" dxfId="191" priority="22" operator="greaterThan">
      <formula>0</formula>
    </cfRule>
  </conditionalFormatting>
  <conditionalFormatting sqref="E334">
    <cfRule type="cellIs" dxfId="190" priority="26" operator="lessThan">
      <formula>0</formula>
    </cfRule>
  </conditionalFormatting>
  <conditionalFormatting sqref="E335">
    <cfRule type="aboveAverage" dxfId="189" priority="28" aboveAverage="0"/>
    <cfRule type="cellIs" dxfId="188" priority="21" operator="greaterThan">
      <formula>0</formula>
    </cfRule>
    <cfRule type="cellIs" dxfId="187" priority="24" operator="lessThan">
      <formula>0</formula>
    </cfRule>
    <cfRule type="cellIs" dxfId="186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85" priority="101" operator="containsText" text="FALSO">
      <formula>NOT(ISERROR(SEARCH("FALSO",F27)))</formula>
    </cfRule>
    <cfRule type="containsText" dxfId="184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183" priority="40" operator="containsText" text="FALSO">
      <formula>NOT(ISERROR(SEARCH("FALSO",F28)))</formula>
    </cfRule>
    <cfRule type="containsText" dxfId="182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181" priority="17" operator="containsText" text="Verd">
      <formula>NOT(ISERROR(SEARCH("Verd",F29)))</formula>
    </cfRule>
    <cfRule type="containsText" dxfId="180" priority="16" operator="containsText" text="Fals">
      <formula>NOT(ISERROR(SEARCH("Fals",F29)))</formula>
    </cfRule>
  </conditionalFormatting>
  <conditionalFormatting sqref="F49:F86">
    <cfRule type="containsText" dxfId="179" priority="15" operator="containsText" text="Verd">
      <formula>NOT(ISERROR(SEARCH("Verd",F49)))</formula>
    </cfRule>
    <cfRule type="containsText" dxfId="178" priority="14" operator="containsText" text="Fals">
      <formula>NOT(ISERROR(SEARCH("Fals",F49)))</formula>
    </cfRule>
  </conditionalFormatting>
  <conditionalFormatting sqref="F88:F271">
    <cfRule type="containsText" dxfId="177" priority="19" operator="containsText" text="Verd">
      <formula>NOT(ISERROR(SEARCH("Verd",F88)))</formula>
    </cfRule>
    <cfRule type="containsText" dxfId="176" priority="18" operator="containsText" text="Fals">
      <formula>NOT(ISERROR(SEARCH("Fals",F88)))</formula>
    </cfRule>
  </conditionalFormatting>
  <conditionalFormatting sqref="F273:F330">
    <cfRule type="containsText" dxfId="175" priority="13" operator="containsText" text="Verd">
      <formula>NOT(ISERROR(SEARCH("Verd",F273)))</formula>
    </cfRule>
    <cfRule type="containsText" dxfId="174" priority="12" operator="containsText" text="Fals">
      <formula>NOT(ISERROR(SEARCH("Fals",F273)))</formula>
    </cfRule>
  </conditionalFormatting>
  <pageMargins left="0.23622047244094491" right="0.23622047244094491" top="0.74803149606299213" bottom="0.74803149606299213" header="0.31496062992125984" footer="0.31496062992125984"/>
  <pageSetup paperSize="9" scale="52" orientation="portrait" r:id="rId1"/>
  <rowBreaks count="4" manualBreakCount="4">
    <brk id="86" max="16383" man="1"/>
    <brk id="181" min="1" max="16" man="1"/>
    <brk id="237" max="16383" man="1"/>
    <brk id="328" min="1" max="16" man="1"/>
  </rowBreak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2C31-D72D-4B1D-810A-E8791FDBE1E0}">
  <sheetPr>
    <tabColor theme="0"/>
    <pageSetUpPr autoPageBreaks="0"/>
  </sheetPr>
  <dimension ref="A1:HA411"/>
  <sheetViews>
    <sheetView zoomScaleNormal="100" zoomScaleSheetLayoutView="100" workbookViewId="0">
      <pane xSplit="2" ySplit="1" topLeftCell="C2" activePane="bottomRight" state="frozen"/>
      <selection activeCell="G6" sqref="G6"/>
      <selection pane="topRight" activeCell="G6" sqref="G6"/>
      <selection pane="bottomLeft" activeCell="G6" sqref="G6"/>
      <selection pane="bottomRight" activeCell="D2" sqref="D2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140625" customWidth="1"/>
    <col min="8" max="9" width="21.42578125" style="246" bestFit="1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customHeight="1" thickBot="1" x14ac:dyDescent="0.4">
      <c r="B1" s="408" t="s">
        <v>303</v>
      </c>
      <c r="C1" s="471" t="s">
        <v>162</v>
      </c>
      <c r="D1" s="410" t="s">
        <v>319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SUM(D3:D17)</f>
        <v>0</v>
      </c>
      <c r="E2" s="307"/>
      <c r="F2" s="31"/>
      <c r="H2" s="285"/>
      <c r="I2" s="285"/>
    </row>
    <row r="3" spans="1:10" x14ac:dyDescent="0.25">
      <c r="B3" s="413" t="str">
        <f>Fluxo_de_Caixa_Janeiro[[#This Row],[Fluxo de Caixa 2026 CTR]]</f>
        <v>1.0 - TESOURARIA MATRIZ PALMAS</v>
      </c>
      <c r="C3" s="62">
        <f>OUTUBRO!C337</f>
        <v>0</v>
      </c>
      <c r="D3" s="414" t="str">
        <f>IF(C3=0,"0,00%",C3/$C$2)</f>
        <v>0,00%</v>
      </c>
      <c r="E3" s="66"/>
      <c r="F3" s="31"/>
    </row>
    <row r="4" spans="1:10" x14ac:dyDescent="0.25">
      <c r="B4" s="413" t="str">
        <f>Fluxo_de_Caixa_Janeiro[[#This Row],[Fluxo de Caixa 2026 CTR]]</f>
        <v>1.1 - BANCO DO BRASIL C.C.60409-7 MATRIZ</v>
      </c>
      <c r="C4" s="62">
        <f>OUTUBRO!C338</f>
        <v>0</v>
      </c>
      <c r="D4" s="414" t="str">
        <f t="shared" ref="D4:D12" si="0">IF(C4=0,"0,00%",C4/$C$2)</f>
        <v>0,00%</v>
      </c>
      <c r="E4" s="66"/>
      <c r="F4" s="31"/>
    </row>
    <row r="5" spans="1:10" hidden="1" x14ac:dyDescent="0.25">
      <c r="B5" s="413">
        <f>Fluxo_de_Caixa_Janeiro[[#This Row],[Fluxo de Caixa 2026 CTR]]</f>
        <v>0</v>
      </c>
      <c r="C5" s="62">
        <f>OUTUBRO!C339</f>
        <v>0</v>
      </c>
      <c r="D5" s="414" t="str">
        <f t="shared" si="0"/>
        <v>0,00%</v>
      </c>
      <c r="E5" s="66"/>
      <c r="F5" s="31"/>
    </row>
    <row r="6" spans="1:10" x14ac:dyDescent="0.25">
      <c r="B6" s="413" t="str">
        <f>Fluxo_de_Caixa_Janeiro[[#This Row],[Fluxo de Caixa 2026 CTR]]</f>
        <v>1.2-BRADESCO 15232-3 MATRIZ</v>
      </c>
      <c r="C6" s="62">
        <f>OUTUBRO!C340</f>
        <v>0</v>
      </c>
      <c r="D6" s="414" t="str">
        <f t="shared" si="0"/>
        <v>0,00%</v>
      </c>
      <c r="E6" s="66"/>
      <c r="F6" s="31"/>
    </row>
    <row r="7" spans="1:10" x14ac:dyDescent="0.25">
      <c r="B7" s="413">
        <f>Fluxo_de_Caixa_Janeiro[[#This Row],[Fluxo de Caixa 2026 CTR]]</f>
        <v>0</v>
      </c>
      <c r="C7" s="62">
        <f>OUTUBRO!C341</f>
        <v>0</v>
      </c>
      <c r="D7" s="414" t="str">
        <f t="shared" si="0"/>
        <v>0,00%</v>
      </c>
      <c r="E7" s="66"/>
      <c r="F7" s="31"/>
    </row>
    <row r="8" spans="1:10" x14ac:dyDescent="0.25">
      <c r="B8" s="413" t="str">
        <f>Fluxo_de_Caixa_Janeiro[[#This Row],[Fluxo de Caixa 2026 CTR]]</f>
        <v>1.3 - BANCO STONE MATRIZ C.C 40256726-7</v>
      </c>
      <c r="C8" s="62">
        <f>OUTUBRO!C342</f>
        <v>0</v>
      </c>
      <c r="D8" s="414" t="str">
        <f t="shared" si="0"/>
        <v>0,00%</v>
      </c>
      <c r="E8" s="66"/>
      <c r="F8" s="31"/>
    </row>
    <row r="9" spans="1:10" x14ac:dyDescent="0.25">
      <c r="B9" s="413" t="str">
        <f>Fluxo_de_Caixa_Janeiro[[#This Row],[Fluxo de Caixa 2026 CTR]]</f>
        <v>1.4 - BANCO DA AMAZONIA 071730-7 MATRIZ</v>
      </c>
      <c r="C9" s="62">
        <f>OUTUBRO!C343</f>
        <v>0</v>
      </c>
      <c r="D9" s="414" t="str">
        <f t="shared" si="0"/>
        <v>0,00%</v>
      </c>
      <c r="E9" s="66"/>
      <c r="F9" s="31"/>
    </row>
    <row r="10" spans="1:10" x14ac:dyDescent="0.25">
      <c r="B10" s="413" t="str">
        <f>Fluxo_de_Caixa_Janeiro[[#This Row],[Fluxo de Caixa 2026 CTR]]</f>
        <v>1.4.1.INVESTIMENTO CDBORE RCP TXFL</v>
      </c>
      <c r="C10" s="62">
        <f>OUTUBRO!C344</f>
        <v>0</v>
      </c>
      <c r="D10" s="414" t="str">
        <f t="shared" si="0"/>
        <v>0,00%</v>
      </c>
      <c r="E10" s="66"/>
      <c r="F10" s="31"/>
    </row>
    <row r="11" spans="1:10" x14ac:dyDescent="0.25">
      <c r="B11" s="413" t="str">
        <f>Fluxo_de_Caixa_Janeiro[[#This Row],[Fluxo de Caixa 2026 CTR]]</f>
        <v>1.5 -  ITAU C.C.98671-6 MATRIZ</v>
      </c>
      <c r="C11" s="62">
        <f>OUTUBRO!C345</f>
        <v>0</v>
      </c>
      <c r="D11" s="414" t="str">
        <f t="shared" si="0"/>
        <v>0,00%</v>
      </c>
      <c r="E11" s="66"/>
      <c r="F11" s="31"/>
    </row>
    <row r="12" spans="1:10" x14ac:dyDescent="0.25">
      <c r="B12" s="413" t="str">
        <f>Fluxo_de_Caixa_Janeiro[[#This Row],[Fluxo de Caixa 2026 CTR]]</f>
        <v>1.5.03. ITAU C.C 83290-2 GARANTIDA</v>
      </c>
      <c r="C12" s="62">
        <f>OUTUBRO!C346</f>
        <v>0</v>
      </c>
      <c r="D12" s="414" t="str">
        <f t="shared" si="0"/>
        <v>0,00%</v>
      </c>
      <c r="E12" s="66"/>
      <c r="F12" s="31"/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OUTUBRO!C347</f>
        <v>0</v>
      </c>
      <c r="D13" s="414" t="str">
        <f t="shared" ref="D13:D26" si="1">IF(C13=0,"0,00%",C13/$C$2)</f>
        <v>0,00%</v>
      </c>
      <c r="E13" s="66"/>
      <c r="F13" s="31"/>
    </row>
    <row r="14" spans="1:10" x14ac:dyDescent="0.25">
      <c r="B14" s="413">
        <f>Fluxo_de_Caixa_Janeiro[[#This Row],[Fluxo de Caixa 2026 CTR]]</f>
        <v>0</v>
      </c>
      <c r="C14" s="62">
        <f>OUTUBRO!C348</f>
        <v>0</v>
      </c>
      <c r="D14" s="414" t="str">
        <f t="shared" si="1"/>
        <v>0,00%</v>
      </c>
      <c r="E14" s="66"/>
      <c r="F14" s="31"/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OUTUBRO!C349</f>
        <v>0</v>
      </c>
      <c r="D15" s="414" t="str">
        <f t="shared" si="1"/>
        <v>0,00%</v>
      </c>
      <c r="E15" s="66"/>
      <c r="F15" s="31"/>
    </row>
    <row r="16" spans="1:10" x14ac:dyDescent="0.25">
      <c r="B16" s="413">
        <f>Fluxo_de_Caixa_Janeiro[[#This Row],[Fluxo de Caixa 2026 CTR]]</f>
        <v>0</v>
      </c>
      <c r="C16" s="62">
        <f>OUTUBRO!C350</f>
        <v>0</v>
      </c>
      <c r="D16" s="414" t="str">
        <f t="shared" si="1"/>
        <v>0,00%</v>
      </c>
      <c r="E16" s="66"/>
      <c r="F16" s="31"/>
    </row>
    <row r="17" spans="1:10" ht="15.75" thickBot="1" x14ac:dyDescent="0.3">
      <c r="B17" s="413">
        <f>Fluxo_de_Caixa_Janeiro[[#This Row],[Fluxo de Caixa 2026 CTR]]</f>
        <v>0</v>
      </c>
      <c r="C17" s="62">
        <f>OUTUBRO!C351</f>
        <v>0</v>
      </c>
      <c r="D17" s="414" t="str">
        <f t="shared" si="1"/>
        <v>0,00%</v>
      </c>
      <c r="E17" s="67"/>
      <c r="F17" s="31"/>
    </row>
    <row r="18" spans="1:10" x14ac:dyDescent="0.25">
      <c r="B18" s="413" t="str">
        <f>Fluxo_de_Caixa_Janeiro[[#This Row],[Fluxo de Caixa 2026 CTR]]</f>
        <v>2.4 - ITAU C.C.98669-0 FILIAL PALMAS</v>
      </c>
      <c r="C18" s="62">
        <f>OUTUBRO!C352</f>
        <v>0</v>
      </c>
      <c r="D18" s="414" t="str">
        <f t="shared" si="1"/>
        <v>0,00%</v>
      </c>
      <c r="E18" s="617" t="e">
        <f>#REF!</f>
        <v>#REF!</v>
      </c>
      <c r="F18" s="31"/>
    </row>
    <row r="19" spans="1:10" x14ac:dyDescent="0.25">
      <c r="B19" s="413" t="str">
        <f>Fluxo_de_Caixa_Janeiro[[#This Row],[Fluxo de Caixa 2026 CTR]]</f>
        <v>2.9 - CONTA PERDA/ROUBO E BONIFICAÇÃO FILIAL</v>
      </c>
      <c r="C19" s="62">
        <f>OUTUBRO!C353</f>
        <v>0</v>
      </c>
      <c r="D19" s="414" t="str">
        <f t="shared" si="1"/>
        <v>0,00%</v>
      </c>
      <c r="E19" s="617" t="e">
        <f>#REF!</f>
        <v>#REF!</v>
      </c>
      <c r="F19" s="31"/>
    </row>
    <row r="20" spans="1:10" x14ac:dyDescent="0.25">
      <c r="B20" s="413" t="str">
        <f>Fluxo_de_Caixa_Janeiro[[#This Row],[Fluxo de Caixa 2026 CTR]]</f>
        <v>4.0 - TESOURARIA FILIAL PORTO</v>
      </c>
      <c r="C20" s="62">
        <f>OUTUBRO!C354</f>
        <v>0</v>
      </c>
      <c r="D20" s="414" t="str">
        <f t="shared" si="1"/>
        <v>0,00%</v>
      </c>
      <c r="E20" s="617" t="e">
        <f>#REF!</f>
        <v>#REF!</v>
      </c>
      <c r="F20" s="31"/>
    </row>
    <row r="21" spans="1:10" x14ac:dyDescent="0.25">
      <c r="B21" s="413" t="str">
        <f>Fluxo_de_Caixa_Janeiro[[#This Row],[Fluxo de Caixa 2026 CTR]]</f>
        <v>4.1 -  BANCO DO BRASIL C.C.61105-0 FILIAL PORTO</v>
      </c>
      <c r="C21" s="62">
        <f>OUTUBRO!C355</f>
        <v>0</v>
      </c>
      <c r="D21" s="414" t="str">
        <f t="shared" si="1"/>
        <v>0,00%</v>
      </c>
      <c r="E21" s="617" t="e">
        <f>#REF!</f>
        <v>#REF!</v>
      </c>
      <c r="F21" s="31"/>
    </row>
    <row r="22" spans="1:10" x14ac:dyDescent="0.25">
      <c r="B22" s="413">
        <f>Fluxo_de_Caixa_Janeiro[[#This Row],[Fluxo de Caixa 2026 CTR]]</f>
        <v>0</v>
      </c>
      <c r="C22" s="62">
        <f>OUTUBRO!C356</f>
        <v>0</v>
      </c>
      <c r="D22" s="414" t="str">
        <f t="shared" si="1"/>
        <v>0,00%</v>
      </c>
      <c r="E22" s="617" t="e">
        <f>#REF!</f>
        <v>#REF!</v>
      </c>
      <c r="F22" s="31"/>
    </row>
    <row r="23" spans="1:10" x14ac:dyDescent="0.25">
      <c r="B23" s="413" t="str">
        <f>Fluxo_de_Caixa_Janeiro[[#This Row],[Fluxo de Caixa 2026 CTR]]</f>
        <v>4.4 - MERCADO PAGO PIX FILIAL PORTO</v>
      </c>
      <c r="C23" s="62">
        <f>OUTUBRO!C357</f>
        <v>0</v>
      </c>
      <c r="D23" s="414" t="str">
        <f t="shared" si="1"/>
        <v>0,00%</v>
      </c>
      <c r="E23" s="617" t="e">
        <f>#REF!</f>
        <v>#REF!</v>
      </c>
      <c r="F23" s="31"/>
    </row>
    <row r="24" spans="1:10" x14ac:dyDescent="0.25">
      <c r="B24" s="413" t="str">
        <f>Fluxo_de_Caixa_Janeiro[[#This Row],[Fluxo de Caixa 2026 CTR]]</f>
        <v>4.9 - CONTA PERDA/ROUBO E BONIFICAÇÃO FILIAL</v>
      </c>
      <c r="C24" s="62">
        <f>OUTUBRO!C358</f>
        <v>0</v>
      </c>
      <c r="D24" s="414" t="str">
        <f t="shared" si="1"/>
        <v>0,00%</v>
      </c>
      <c r="E24" s="617" t="e">
        <f>#REF!</f>
        <v>#REF!</v>
      </c>
      <c r="F24" s="31"/>
    </row>
    <row r="25" spans="1:10" x14ac:dyDescent="0.25">
      <c r="B25" s="413" t="str">
        <f>Fluxo_de_Caixa_Janeiro[[#This Row],[Fluxo de Caixa 2026 CTR]]</f>
        <v>91.CARTÃO ENDERED 5099+4596+6933+8072 - ESCRITORIO</v>
      </c>
      <c r="C25" s="62">
        <f>OUTUBRO!C359</f>
        <v>0</v>
      </c>
      <c r="D25" s="414" t="str">
        <f t="shared" si="1"/>
        <v>0,00%</v>
      </c>
      <c r="E25" s="617" t="e">
        <f>#REF!</f>
        <v>#REF!</v>
      </c>
      <c r="F25" s="31"/>
    </row>
    <row r="26" spans="1:10" hidden="1" x14ac:dyDescent="0.25">
      <c r="B26" s="413">
        <f>Fluxo_de_Caixa_Janeiro[[#This Row],[Fluxo de Caixa 2026 CTR]]</f>
        <v>0</v>
      </c>
      <c r="C26" s="62">
        <f>OUTUBRO!C360</f>
        <v>0</v>
      </c>
      <c r="D26" s="414" t="str">
        <f t="shared" si="1"/>
        <v>0,00%</v>
      </c>
      <c r="E26" s="617" t="e">
        <f>#REF!</f>
        <v>#REF!</v>
      </c>
      <c r="F26" s="31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2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J29" s="246"/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3">H30+I30+J30</f>
        <v>0</v>
      </c>
      <c r="D30" s="420" t="str">
        <f t="shared" si="2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J30" s="246"/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3"/>
        <v>0</v>
      </c>
      <c r="D31" s="420" t="str">
        <f t="shared" si="2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3"/>
        <v>0</v>
      </c>
      <c r="D32" s="420" t="str">
        <f t="shared" si="2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3"/>
        <v>0</v>
      </c>
      <c r="D33" s="420" t="str">
        <f t="shared" si="2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3"/>
        <v>0</v>
      </c>
      <c r="D34" s="420" t="str">
        <f t="shared" si="2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J34" s="246"/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3"/>
        <v>0</v>
      </c>
      <c r="D35" s="420" t="str">
        <f t="shared" si="2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J35" s="246"/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3"/>
        <v>0</v>
      </c>
      <c r="D36" s="420" t="str">
        <f t="shared" si="2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J36" s="246"/>
    </row>
    <row r="37" spans="1:10" hidden="1" x14ac:dyDescent="0.25">
      <c r="B37" s="421">
        <f>Fluxo_de_Caixa_Janeiro[[#This Row],[Fluxo de Caixa 2026 CTR]]</f>
        <v>0</v>
      </c>
      <c r="C37" s="62"/>
      <c r="D37" s="420" t="str">
        <f t="shared" si="2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J37" s="246"/>
    </row>
    <row r="38" spans="1:10" hidden="1" x14ac:dyDescent="0.25">
      <c r="B38" s="421">
        <f>Fluxo_de_Caixa_Janeiro[[#This Row],[Fluxo de Caixa 2026 CTR]]</f>
        <v>0</v>
      </c>
      <c r="C38" s="62"/>
      <c r="D38" s="420" t="str">
        <f t="shared" si="2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J38" s="246"/>
    </row>
    <row r="39" spans="1:10" hidden="1" x14ac:dyDescent="0.25">
      <c r="B39" s="421">
        <f>Fluxo_de_Caixa_Janeiro[[#This Row],[Fluxo de Caixa 2026 CTR]]</f>
        <v>0</v>
      </c>
      <c r="C39" s="62"/>
      <c r="D39" s="420" t="str">
        <f t="shared" si="2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J39" s="246"/>
    </row>
    <row r="40" spans="1:10" hidden="1" x14ac:dyDescent="0.25">
      <c r="B40" s="421">
        <f>Fluxo_de_Caixa_Janeiro[[#This Row],[Fluxo de Caixa 2026 CTR]]</f>
        <v>0</v>
      </c>
      <c r="C40" s="62"/>
      <c r="D40" s="420" t="str">
        <f t="shared" si="2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J40" s="246"/>
    </row>
    <row r="41" spans="1:10" hidden="1" x14ac:dyDescent="0.25">
      <c r="B41" s="421">
        <f>Fluxo_de_Caixa_Janeiro[[#This Row],[Fluxo de Caixa 2026 CTR]]</f>
        <v>0</v>
      </c>
      <c r="C41" s="62"/>
      <c r="D41" s="420" t="str">
        <f t="shared" si="2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J41" s="246"/>
    </row>
    <row r="42" spans="1:10" hidden="1" x14ac:dyDescent="0.25">
      <c r="B42" s="421">
        <f>Fluxo_de_Caixa_Janeiro[[#This Row],[Fluxo de Caixa 2026 CTR]]</f>
        <v>0</v>
      </c>
      <c r="C42" s="62"/>
      <c r="D42" s="420" t="str">
        <f t="shared" si="2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J42" s="246"/>
    </row>
    <row r="43" spans="1:10" hidden="1" x14ac:dyDescent="0.25">
      <c r="B43" s="421">
        <f>Fluxo_de_Caixa_Janeiro[[#This Row],[Fluxo de Caixa 2026 CTR]]</f>
        <v>0</v>
      </c>
      <c r="C43" s="62"/>
      <c r="D43" s="420" t="str">
        <f t="shared" si="2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J43" s="246"/>
    </row>
    <row r="44" spans="1:10" hidden="1" x14ac:dyDescent="0.25">
      <c r="B44" s="421">
        <f>Fluxo_de_Caixa_Janeiro[[#This Row],[Fluxo de Caixa 2026 CTR]]</f>
        <v>0</v>
      </c>
      <c r="C44" s="62"/>
      <c r="D44" s="420" t="str">
        <f t="shared" si="2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J44" s="246"/>
    </row>
    <row r="45" spans="1:10" hidden="1" x14ac:dyDescent="0.25">
      <c r="B45" s="421">
        <f>Fluxo_de_Caixa_Janeiro[[#This Row],[Fluxo de Caixa 2026 CTR]]</f>
        <v>0</v>
      </c>
      <c r="C45" s="62"/>
      <c r="D45" s="420" t="str">
        <f t="shared" si="2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J45" s="246"/>
    </row>
    <row r="46" spans="1:10" hidden="1" x14ac:dyDescent="0.25">
      <c r="B46" s="421">
        <f>Fluxo_de_Caixa_Janeiro[[#This Row],[Fluxo de Caixa 2026 CTR]]</f>
        <v>0</v>
      </c>
      <c r="C46" s="62">
        <v>0</v>
      </c>
      <c r="D46" s="420" t="str">
        <f t="shared" si="2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2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4">H54+I54+J54</f>
        <v>0</v>
      </c>
      <c r="D54" s="426" t="str">
        <f t="shared" ref="D54:D59" si="5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5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4"/>
        <v>0</v>
      </c>
      <c r="D56" s="426" t="str">
        <f t="shared" si="5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4"/>
        <v>0</v>
      </c>
      <c r="D57" s="426" t="str">
        <f t="shared" si="5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J57" s="246"/>
    </row>
    <row r="58" spans="1:10" hidden="1" x14ac:dyDescent="0.25">
      <c r="B58" s="425">
        <f>Fluxo_de_Caixa_Janeiro[[#This Row],[Fluxo de Caixa 2026 CTR]]</f>
        <v>0</v>
      </c>
      <c r="C58" s="62"/>
      <c r="D58" s="426" t="str">
        <f t="shared" si="5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 t="str">
        <f t="shared" si="5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6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7">H62+I62+J62</f>
        <v>0</v>
      </c>
      <c r="D62" s="426" t="str">
        <f t="shared" si="6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7"/>
        <v>0</v>
      </c>
      <c r="D63" s="426" t="str">
        <f t="shared" si="6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7"/>
        <v>0</v>
      </c>
      <c r="D64" s="426" t="str">
        <f t="shared" si="6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7"/>
        <v>0</v>
      </c>
      <c r="D65" s="426" t="str">
        <f t="shared" si="6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J65" s="246"/>
    </row>
    <row r="66" spans="1:10" hidden="1" x14ac:dyDescent="0.25">
      <c r="B66" s="425">
        <f>Fluxo_de_Caixa_Janeiro[[#This Row],[Fluxo de Caixa 2026 CTR]]</f>
        <v>0</v>
      </c>
      <c r="C66" s="62">
        <f t="shared" si="7"/>
        <v>0</v>
      </c>
      <c r="D66" s="426" t="str">
        <f t="shared" si="6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J66" s="246"/>
    </row>
    <row r="67" spans="1:10" hidden="1" x14ac:dyDescent="0.25">
      <c r="B67" s="425">
        <f>Fluxo_de_Caixa_Janeiro[[#This Row],[Fluxo de Caixa 2026 CTR]]</f>
        <v>0</v>
      </c>
      <c r="C67" s="62">
        <f t="shared" si="7"/>
        <v>0</v>
      </c>
      <c r="D67" s="426" t="str">
        <f t="shared" si="6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J67" s="246"/>
    </row>
    <row r="68" spans="1:10" hidden="1" x14ac:dyDescent="0.25">
      <c r="B68" s="425">
        <f>Fluxo_de_Caixa_Janeiro[[#This Row],[Fluxo de Caixa 2026 CTR]]</f>
        <v>0</v>
      </c>
      <c r="C68" s="62">
        <f t="shared" si="7"/>
        <v>0</v>
      </c>
      <c r="D68" s="426" t="str">
        <f t="shared" si="6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7"/>
        <v>0</v>
      </c>
      <c r="D69" s="426" t="str">
        <f t="shared" si="6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25">
      <c r="B71" s="428">
        <f>Fluxo_de_Caixa_Janeiro[[#This Row],[Fluxo de Caixa 2026 CTR]]</f>
        <v>0</v>
      </c>
      <c r="C71" s="62"/>
      <c r="D71" s="426" t="str">
        <f t="shared" ref="D71:D84" si="8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8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9">H73+I73+J73</f>
        <v>0</v>
      </c>
      <c r="D73" s="426" t="str">
        <f t="shared" si="8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9"/>
        <v>0</v>
      </c>
      <c r="D74" s="426" t="str">
        <f t="shared" si="8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9"/>
        <v>0</v>
      </c>
      <c r="D75" s="426" t="str">
        <f t="shared" si="8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9"/>
        <v>0</v>
      </c>
      <c r="D76" s="426" t="str">
        <f t="shared" si="8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9"/>
        <v>0</v>
      </c>
      <c r="D77" s="426" t="str">
        <f t="shared" si="8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9"/>
        <v>0</v>
      </c>
      <c r="D78" s="426" t="str">
        <f t="shared" si="8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9"/>
        <v>0</v>
      </c>
      <c r="D79" s="426" t="str">
        <f t="shared" si="8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9"/>
        <v>0</v>
      </c>
      <c r="D80" s="426" t="str">
        <f t="shared" si="8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9"/>
        <v>0</v>
      </c>
      <c r="D81" s="426" t="str">
        <f t="shared" si="8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9"/>
        <v>0</v>
      </c>
      <c r="D82" s="426" t="str">
        <f t="shared" si="8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25">
      <c r="B83" s="428">
        <f>Fluxo_de_Caixa_Janeiro[[#This Row],[Fluxo de Caixa 2026 CTR]]</f>
        <v>0</v>
      </c>
      <c r="C83" s="62"/>
      <c r="D83" s="426" t="str">
        <f t="shared" si="8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 t="str">
        <f t="shared" si="8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7" si="10">H90+I90+J90</f>
        <v>0</v>
      </c>
      <c r="D90" s="438" t="str">
        <f t="shared" ref="D90:D99" si="11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10"/>
        <v>0</v>
      </c>
      <c r="D91" s="438" t="str">
        <f t="shared" si="11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 t="str">
        <f t="shared" si="11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10"/>
        <v>0</v>
      </c>
      <c r="D93" s="438" t="str">
        <f t="shared" si="11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10"/>
        <v>0</v>
      </c>
      <c r="D94" s="438" t="str">
        <f t="shared" si="11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10"/>
        <v>0</v>
      </c>
      <c r="D95" s="438" t="str">
        <f t="shared" si="11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J95" s="246"/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 t="str">
        <f t="shared" si="11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 t="str">
        <f t="shared" si="11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/>
      <c r="D98" s="438" t="str">
        <f t="shared" si="11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J98" s="246"/>
    </row>
    <row r="99" spans="1:10" hidden="1" x14ac:dyDescent="0.25">
      <c r="B99" s="437">
        <f>Fluxo_de_Caixa_Janeiro[[#This Row],[Fluxo de Caixa 2026 CTR]]</f>
        <v>0</v>
      </c>
      <c r="C99" s="62"/>
      <c r="D99" s="438" t="str">
        <f t="shared" si="11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2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3">H102+I102+J102</f>
        <v>0</v>
      </c>
      <c r="D102" s="438" t="str">
        <f t="shared" si="12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3"/>
        <v>0</v>
      </c>
      <c r="D103" s="438" t="str">
        <f t="shared" si="12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3"/>
        <v>0</v>
      </c>
      <c r="D104" s="438" t="str">
        <f t="shared" si="12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3"/>
        <v>0</v>
      </c>
      <c r="D105" s="438" t="str">
        <f t="shared" si="12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3"/>
        <v>0</v>
      </c>
      <c r="D106" s="438" t="str">
        <f t="shared" si="12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3"/>
        <v>0</v>
      </c>
      <c r="D107" s="438" t="str">
        <f t="shared" si="12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3"/>
        <v>0</v>
      </c>
      <c r="D108" s="438" t="str">
        <f t="shared" si="12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3"/>
        <v>0</v>
      </c>
      <c r="D109" s="438" t="str">
        <f t="shared" si="12"/>
        <v>0,00%</v>
      </c>
      <c r="E109" s="317">
        <v>1.00036758032117</v>
      </c>
      <c r="F109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3"/>
        <v>0</v>
      </c>
      <c r="D110" s="438" t="str">
        <f t="shared" si="12"/>
        <v>0,00%</v>
      </c>
      <c r="E110" s="317">
        <v>1.00036758032117</v>
      </c>
      <c r="F110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3"/>
        <v>0</v>
      </c>
      <c r="D111" s="438" t="str">
        <f t="shared" si="12"/>
        <v>0,00%</v>
      </c>
      <c r="E111" s="317">
        <v>2.00036758032117</v>
      </c>
      <c r="F111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3"/>
        <v>0</v>
      </c>
      <c r="D112" s="438" t="str">
        <f t="shared" si="12"/>
        <v>0,00%</v>
      </c>
      <c r="E112" s="317">
        <v>3.00036758032117</v>
      </c>
      <c r="F112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3"/>
        <v>0</v>
      </c>
      <c r="D113" s="438" t="str">
        <f t="shared" si="12"/>
        <v>0,00%</v>
      </c>
      <c r="E113" s="317">
        <v>4.0003675803211696</v>
      </c>
      <c r="F113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3"/>
        <v>0</v>
      </c>
      <c r="D114" s="438" t="str">
        <f t="shared" si="12"/>
        <v>0,00%</v>
      </c>
      <c r="E114" s="317">
        <v>5.0003675803211696</v>
      </c>
      <c r="F114"/>
      <c r="H114" s="284"/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3"/>
        <v>0</v>
      </c>
      <c r="D115" s="438" t="str">
        <f t="shared" si="12"/>
        <v>0,00%</v>
      </c>
      <c r="E115" s="317">
        <v>6.0003675803211696</v>
      </c>
      <c r="F115"/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3"/>
        <v>0</v>
      </c>
      <c r="D116" s="438" t="str">
        <f t="shared" si="12"/>
        <v>0,00%</v>
      </c>
      <c r="E116" s="317">
        <v>7.0003675803211696</v>
      </c>
      <c r="F11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3"/>
        <v>0</v>
      </c>
      <c r="D117" s="438" t="str">
        <f t="shared" si="12"/>
        <v>0,00%</v>
      </c>
      <c r="E117" s="317">
        <v>8.0003675803211696</v>
      </c>
      <c r="F117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3"/>
        <v>0</v>
      </c>
      <c r="D118" s="438" t="str">
        <f>IFERROR(C118/$C$27,"0,00%")</f>
        <v>0,00%</v>
      </c>
      <c r="E118" s="317">
        <v>9.0003675803211696</v>
      </c>
      <c r="F118"/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3"/>
        <v>0</v>
      </c>
      <c r="D119" s="438" t="str">
        <f t="shared" si="12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3"/>
        <v>0</v>
      </c>
      <c r="D120" s="438" t="str">
        <f t="shared" si="12"/>
        <v>0,00%</v>
      </c>
      <c r="E120" s="317" t="e">
        <f>#REF!</f>
        <v>#REF!</v>
      </c>
      <c r="F120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3"/>
        <v>0</v>
      </c>
      <c r="D121" s="438" t="str">
        <f t="shared" si="12"/>
        <v>0,00%</v>
      </c>
      <c r="E121" s="317" t="e">
        <f>#REF!</f>
        <v>#REF!</v>
      </c>
      <c r="F121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3"/>
        <v>0</v>
      </c>
      <c r="D122" s="438" t="str">
        <f t="shared" si="12"/>
        <v>0,00%</v>
      </c>
      <c r="E122" s="317" t="e">
        <f>#REF!</f>
        <v>#REF!</v>
      </c>
      <c r="F122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3"/>
        <v>0</v>
      </c>
      <c r="D123" s="438" t="str">
        <f t="shared" si="12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 t="str">
        <f t="shared" si="12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 t="str">
        <f t="shared" si="12"/>
        <v>0,00%</v>
      </c>
      <c r="E125" s="317" t="e">
        <f>#REF!</f>
        <v>#REF!</v>
      </c>
      <c r="F125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 t="str">
        <f t="shared" si="12"/>
        <v>0,00%</v>
      </c>
      <c r="E126" s="317" t="e">
        <f>#REF!</f>
        <v>#REF!</v>
      </c>
      <c r="F12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 t="str">
        <f t="shared" si="12"/>
        <v>0,00%</v>
      </c>
      <c r="E127" s="317" t="e">
        <f>#REF!</f>
        <v>#REF!</v>
      </c>
      <c r="F127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 t="str">
        <f t="shared" si="12"/>
        <v>0,00%</v>
      </c>
      <c r="E128" s="317" t="e">
        <f>#REF!</f>
        <v>#REF!</v>
      </c>
      <c r="F128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 t="str">
        <f t="shared" si="12"/>
        <v>0,00%</v>
      </c>
      <c r="E129" s="317" t="e">
        <f>#REF!</f>
        <v>#REF!</v>
      </c>
      <c r="F129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 t="str">
        <f t="shared" si="12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4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5">H133+I133+J133</f>
        <v>0</v>
      </c>
      <c r="D133" s="438" t="str">
        <f t="shared" si="14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5"/>
        <v>0</v>
      </c>
      <c r="D134" s="438" t="str">
        <f t="shared" si="14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5"/>
        <v>0</v>
      </c>
      <c r="D135" s="438" t="str">
        <f t="shared" si="14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J135" s="246"/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5"/>
        <v>0</v>
      </c>
      <c r="D136" s="438" t="str">
        <f t="shared" si="14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5"/>
        <v>0</v>
      </c>
      <c r="D137" s="438" t="str">
        <f t="shared" si="14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5"/>
        <v>0</v>
      </c>
      <c r="D138" s="438" t="str">
        <f t="shared" si="14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5"/>
        <v>0</v>
      </c>
      <c r="D139" s="438" t="str">
        <f t="shared" si="14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J139" s="246"/>
    </row>
    <row r="140" spans="1:10" x14ac:dyDescent="0.25">
      <c r="B140" s="437" t="str">
        <f>Fluxo_de_Caixa_Janeiro[[#This Row],[Fluxo de Caixa 2026 CTR]]</f>
        <v>3.3.09. Viagens e Estadias - CPD</v>
      </c>
      <c r="C140" s="62"/>
      <c r="D140" s="438" t="str">
        <f t="shared" si="14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 t="str">
        <f t="shared" si="14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 t="str">
        <f t="shared" si="14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 t="str">
        <f t="shared" si="14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 t="str">
        <f t="shared" si="14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6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7">H147+I147+J147</f>
        <v>0</v>
      </c>
      <c r="D147" s="438" t="str">
        <f t="shared" si="16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7"/>
        <v>0</v>
      </c>
      <c r="D148" s="438" t="str">
        <f t="shared" si="16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7"/>
        <v>0</v>
      </c>
      <c r="D149" s="438" t="str">
        <f t="shared" si="16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7"/>
        <v>0</v>
      </c>
      <c r="D150" s="438" t="str">
        <f t="shared" si="16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7"/>
        <v>0</v>
      </c>
      <c r="D151" s="438" t="str">
        <f t="shared" si="16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7"/>
        <v>0</v>
      </c>
      <c r="D152" s="438" t="str">
        <f t="shared" si="16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7"/>
        <v>0</v>
      </c>
      <c r="D153" s="438" t="str">
        <f t="shared" si="16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7"/>
        <v>0</v>
      </c>
      <c r="D154" s="438" t="str">
        <f t="shared" si="16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7"/>
        <v>0</v>
      </c>
      <c r="D155" s="438" t="str">
        <f t="shared" si="16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 t="str">
        <f t="shared" si="16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 t="str">
        <f t="shared" si="16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7"/>
        <v>0</v>
      </c>
      <c r="D158" s="438" t="str">
        <f t="shared" si="16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7"/>
        <v>0</v>
      </c>
      <c r="D159" s="438" t="str">
        <f t="shared" si="16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 t="str">
        <f t="shared" si="16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7"/>
        <v>0</v>
      </c>
      <c r="D161" s="438" t="str">
        <f t="shared" si="16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 t="str">
        <f t="shared" si="16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7"/>
        <v>0</v>
      </c>
      <c r="D163" s="438" t="str">
        <f t="shared" si="16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 t="str">
        <f t="shared" si="16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 t="str">
        <f t="shared" si="16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 t="str">
        <f t="shared" si="16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8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0</v>
      </c>
      <c r="D169" s="438" t="str">
        <f t="shared" si="18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9"/>
        <v>0</v>
      </c>
      <c r="D170" s="438" t="str">
        <f t="shared" si="18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9"/>
        <v>0</v>
      </c>
      <c r="D171" s="438" t="str">
        <f t="shared" si="18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9"/>
        <v>0</v>
      </c>
      <c r="D172" s="438" t="str">
        <f t="shared" si="18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 t="str">
        <f t="shared" si="18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9"/>
        <v>0</v>
      </c>
      <c r="D174" s="438" t="str">
        <f t="shared" si="18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9"/>
        <v>0</v>
      </c>
      <c r="D175" s="438" t="str">
        <f t="shared" si="18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 t="str">
        <f t="shared" si="18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9"/>
        <v>0</v>
      </c>
      <c r="D177" s="438" t="str">
        <f t="shared" si="18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 t="str">
        <f t="shared" si="18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 t="str">
        <f t="shared" si="18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 t="str">
        <f t="shared" si="18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 t="str">
        <f t="shared" si="18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20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J183" s="246"/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1">H184+I184+J184</f>
        <v>0</v>
      </c>
      <c r="D184" s="438" t="str">
        <f t="shared" si="20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 t="str">
        <f t="shared" si="20"/>
        <v>0,00%</v>
      </c>
      <c r="E185" s="317">
        <v>-11</v>
      </c>
      <c r="F185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1"/>
        <v>0</v>
      </c>
      <c r="D186" s="438" t="str">
        <f t="shared" si="20"/>
        <v>0,00%</v>
      </c>
      <c r="E186" s="317">
        <v>-10</v>
      </c>
      <c r="F18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 t="str">
        <f t="shared" si="20"/>
        <v>0,00%</v>
      </c>
      <c r="E187" s="317">
        <v>-9</v>
      </c>
      <c r="F187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1"/>
        <v>0</v>
      </c>
      <c r="D188" s="438" t="str">
        <f t="shared" si="20"/>
        <v>0,00%</v>
      </c>
      <c r="E188" s="317">
        <v>-8</v>
      </c>
      <c r="F188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1"/>
        <v>0</v>
      </c>
      <c r="D189" s="438" t="str">
        <f t="shared" si="20"/>
        <v>0,00%</v>
      </c>
      <c r="E189" s="317">
        <v>-7</v>
      </c>
      <c r="F189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1"/>
        <v>0</v>
      </c>
      <c r="D190" s="438" t="str">
        <f t="shared" si="20"/>
        <v>0,00%</v>
      </c>
      <c r="E190" s="317">
        <v>-6</v>
      </c>
      <c r="F190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 t="str">
        <f t="shared" si="20"/>
        <v>0,00%</v>
      </c>
      <c r="E191" s="317">
        <v>-5</v>
      </c>
      <c r="F191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1"/>
        <v>0</v>
      </c>
      <c r="D192" s="438" t="str">
        <f t="shared" si="20"/>
        <v>0,00%</v>
      </c>
      <c r="E192" s="317">
        <v>-4</v>
      </c>
      <c r="F192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1"/>
        <v>0</v>
      </c>
      <c r="D193" s="438" t="str">
        <f t="shared" si="20"/>
        <v>0,00%</v>
      </c>
      <c r="E193" s="317">
        <v>-3</v>
      </c>
      <c r="F193"/>
      <c r="J193" s="246"/>
    </row>
    <row r="194" spans="1:10" x14ac:dyDescent="0.25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 t="str">
        <f t="shared" si="20"/>
        <v>0,00%</v>
      </c>
      <c r="E194" s="317">
        <v>-2</v>
      </c>
      <c r="F194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1"/>
        <v>0</v>
      </c>
      <c r="D195" s="438" t="str">
        <f t="shared" si="20"/>
        <v>0,00%</v>
      </c>
      <c r="E195" s="317">
        <v>-1</v>
      </c>
      <c r="F195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 t="str">
        <f t="shared" si="20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 t="str">
        <f t="shared" si="20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 t="str">
        <f t="shared" si="20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 t="str">
        <f t="shared" si="20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2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0</v>
      </c>
      <c r="D202" s="438" t="str">
        <f t="shared" si="22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 t="str">
        <f t="shared" si="22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3"/>
        <v>0</v>
      </c>
      <c r="D204" s="438" t="str">
        <f t="shared" si="22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 t="str">
        <f t="shared" si="22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3"/>
        <v>0</v>
      </c>
      <c r="D206" s="438" t="str">
        <f t="shared" si="22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3"/>
        <v>0</v>
      </c>
      <c r="D207" s="438" t="str">
        <f t="shared" si="22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3"/>
        <v>0</v>
      </c>
      <c r="D208" s="438" t="str">
        <f t="shared" si="22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 t="str">
        <f t="shared" si="22"/>
        <v>0,00%</v>
      </c>
      <c r="E209" s="319" t="e">
        <f>#REF!</f>
        <v>#REF!</v>
      </c>
      <c r="F209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 t="str">
        <f t="shared" si="22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 t="str">
        <f t="shared" si="22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 t="str">
        <f t="shared" ref="D213:D230" si="24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 t="str">
        <f t="shared" si="24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4"/>
        <v>0,00%</v>
      </c>
      <c r="E215" s="317" t="e">
        <f>#REF!</f>
        <v>#REF!</v>
      </c>
      <c r="F215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5">H216+I216+J216</f>
        <v>0</v>
      </c>
      <c r="D216" s="438" t="str">
        <f t="shared" si="24"/>
        <v>0,00%</v>
      </c>
      <c r="E216" s="317" t="e">
        <f>#REF!</f>
        <v>#REF!</v>
      </c>
      <c r="F21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5"/>
        <v>0</v>
      </c>
      <c r="D217" s="438" t="str">
        <f t="shared" si="24"/>
        <v>0,00%</v>
      </c>
      <c r="E217" s="317" t="e">
        <f>#REF!</f>
        <v>#REF!</v>
      </c>
      <c r="F217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5"/>
        <v>0</v>
      </c>
      <c r="D218" s="438" t="str">
        <f t="shared" si="24"/>
        <v>0,00%</v>
      </c>
      <c r="E218" s="317" t="e">
        <f>#REF!</f>
        <v>#REF!</v>
      </c>
      <c r="F218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5"/>
        <v>0</v>
      </c>
      <c r="D219" s="438" t="str">
        <f t="shared" si="24"/>
        <v>0,00%</v>
      </c>
      <c r="E219" s="317" t="e">
        <f>#REF!</f>
        <v>#REF!</v>
      </c>
      <c r="F219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 t="str">
        <f t="shared" si="24"/>
        <v>0,00%</v>
      </c>
      <c r="E220" s="317" t="e">
        <f>#REF!</f>
        <v>#REF!</v>
      </c>
      <c r="F220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 t="str">
        <f t="shared" si="24"/>
        <v>0,00%</v>
      </c>
      <c r="E221" s="317" t="e">
        <f>#REF!</f>
        <v>#REF!</v>
      </c>
      <c r="F221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 t="str">
        <f t="shared" si="24"/>
        <v>0,00%</v>
      </c>
      <c r="E222" s="317" t="e">
        <f>#REF!</f>
        <v>#REF!</v>
      </c>
      <c r="F222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 t="str">
        <f t="shared" si="24"/>
        <v>0,00%</v>
      </c>
      <c r="E223" s="317" t="e">
        <f>#REF!</f>
        <v>#REF!</v>
      </c>
      <c r="F223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 t="str">
        <f t="shared" si="24"/>
        <v>0,00%</v>
      </c>
      <c r="E224" s="317" t="e">
        <f>#REF!</f>
        <v>#REF!</v>
      </c>
      <c r="F224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 t="str">
        <f t="shared" si="24"/>
        <v>0,00%</v>
      </c>
      <c r="E225" s="317" t="e">
        <f>#REF!</f>
        <v>#REF!</v>
      </c>
      <c r="F225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5"/>
        <v>0</v>
      </c>
      <c r="D226" s="438" t="str">
        <f t="shared" si="24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5"/>
        <v>0</v>
      </c>
      <c r="D227" s="438" t="str">
        <f t="shared" si="24"/>
        <v>0,00%</v>
      </c>
      <c r="E227" s="317" t="e">
        <f>#REF!</f>
        <v>#REF!</v>
      </c>
      <c r="F227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5"/>
        <v>0</v>
      </c>
      <c r="D228" s="438" t="str">
        <f t="shared" si="24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 t="str">
        <f t="shared" si="24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 t="str">
        <f t="shared" si="24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6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6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 t="str">
        <f t="shared" si="26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 t="str">
        <f t="shared" si="26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6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6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7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7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7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9"/>
        <v>0</v>
      </c>
      <c r="D254" s="420" t="str">
        <f t="shared" si="27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J257" s="246"/>
    </row>
    <row r="258" spans="2:10" hidden="1" x14ac:dyDescent="0.25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7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J265" s="246"/>
    </row>
    <row r="266" spans="2:10" x14ac:dyDescent="0.25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30"/>
        <v>0</v>
      </c>
      <c r="D268" s="420" t="str">
        <f t="shared" si="27"/>
        <v>0,00%</v>
      </c>
      <c r="E268" s="325" t="e">
        <f>#REF!</f>
        <v>#REF!</v>
      </c>
      <c r="F268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30"/>
        <v>0</v>
      </c>
      <c r="D269" s="420" t="str">
        <f t="shared" si="27"/>
        <v>0,00%</v>
      </c>
      <c r="E269" s="325" t="e">
        <f>#REF!</f>
        <v>#REF!</v>
      </c>
      <c r="F269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30"/>
        <v>0</v>
      </c>
      <c r="D270" s="420" t="str">
        <f t="shared" si="27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1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 t="str">
        <f t="shared" si="31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 t="str">
        <f t="shared" si="31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2"/>
        <v>0</v>
      </c>
      <c r="D277" s="450" t="str">
        <f t="shared" si="31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 t="str">
        <f t="shared" si="31"/>
        <v>0,00%</v>
      </c>
      <c r="E278" s="329" t="e">
        <f>#REF!</f>
        <v>#REF!</v>
      </c>
      <c r="F278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 t="str">
        <f t="shared" si="31"/>
        <v>0,00%</v>
      </c>
      <c r="E279" s="329" t="e">
        <f>#REF!</f>
        <v>#REF!</v>
      </c>
      <c r="F279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 t="str">
        <f t="shared" si="31"/>
        <v>0,00%</v>
      </c>
      <c r="E280" s="329" t="e">
        <f>#REF!</f>
        <v>#REF!</v>
      </c>
      <c r="F280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 t="str">
        <f t="shared" si="31"/>
        <v>0,00%</v>
      </c>
      <c r="E281" s="329" t="e">
        <f>#REF!</f>
        <v>#REF!</v>
      </c>
      <c r="F281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 t="str">
        <f t="shared" si="31"/>
        <v>0,00%</v>
      </c>
      <c r="E282" s="329" t="e">
        <f>#REF!</f>
        <v>#REF!</v>
      </c>
      <c r="F282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 t="str">
        <f t="shared" si="31"/>
        <v>0,00%</v>
      </c>
      <c r="E283" s="329" t="e">
        <f>#REF!</f>
        <v>#REF!</v>
      </c>
      <c r="F283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 t="str">
        <f t="shared" si="31"/>
        <v>0,00%</v>
      </c>
      <c r="E284" s="329" t="e">
        <f>#REF!</f>
        <v>#REF!</v>
      </c>
      <c r="F284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 t="str">
        <f t="shared" si="31"/>
        <v>0,00%</v>
      </c>
      <c r="E285" s="329" t="e">
        <f>#REF!</f>
        <v>#REF!</v>
      </c>
      <c r="F285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 t="str">
        <f t="shared" si="31"/>
        <v>0,00%</v>
      </c>
      <c r="E286" s="329" t="e">
        <f>#REF!</f>
        <v>#REF!</v>
      </c>
      <c r="F28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 t="str">
        <f t="shared" si="31"/>
        <v>0,00%</v>
      </c>
      <c r="E287" s="329" t="e">
        <f>#REF!</f>
        <v>#REF!</v>
      </c>
      <c r="F287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 t="str">
        <f t="shared" si="31"/>
        <v>0,00%</v>
      </c>
      <c r="E288" s="329" t="e">
        <f>#REF!</f>
        <v>#REF!</v>
      </c>
      <c r="F288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 t="str">
        <f t="shared" si="31"/>
        <v>0,00%</v>
      </c>
      <c r="E289" s="329" t="e">
        <f>#REF!</f>
        <v>#REF!</v>
      </c>
      <c r="F289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 t="str">
        <f t="shared" si="31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 t="str">
        <f t="shared" si="31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 t="str">
        <f t="shared" si="31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 t="str">
        <f t="shared" si="31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3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 t="str">
        <f t="shared" si="33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4"/>
        <v>0</v>
      </c>
      <c r="D297" s="450" t="str">
        <f t="shared" si="33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4"/>
        <v>0</v>
      </c>
      <c r="D298" s="450" t="str">
        <f t="shared" si="33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4"/>
        <v>0</v>
      </c>
      <c r="D299" s="450" t="str">
        <f t="shared" si="33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4"/>
        <v>0</v>
      </c>
      <c r="D300" s="450" t="str">
        <f t="shared" si="33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 t="str">
        <f t="shared" si="33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 t="str">
        <f t="shared" si="33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 t="str">
        <f t="shared" si="33"/>
        <v>0,00%</v>
      </c>
      <c r="E303" s="329" t="e">
        <f>#REF!</f>
        <v>#REF!</v>
      </c>
      <c r="F303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 t="str">
        <f t="shared" si="33"/>
        <v>0,00%</v>
      </c>
      <c r="E304" s="329" t="e">
        <f>#REF!</f>
        <v>#REF!</v>
      </c>
      <c r="F304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4"/>
        <v>0</v>
      </c>
      <c r="D305" s="450" t="str">
        <f t="shared" si="33"/>
        <v>0,00%</v>
      </c>
      <c r="E305" s="329" t="e">
        <f>#REF!</f>
        <v>#REF!</v>
      </c>
      <c r="F305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 t="str">
        <f t="shared" si="33"/>
        <v>0,00%</v>
      </c>
      <c r="E306" s="329" t="e">
        <f>#REF!</f>
        <v>#REF!</v>
      </c>
      <c r="F30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 t="str">
        <f t="shared" si="33"/>
        <v>0,00%</v>
      </c>
      <c r="E307" s="329" t="e">
        <f>#REF!</f>
        <v>#REF!</v>
      </c>
      <c r="F307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 t="str">
        <f t="shared" si="33"/>
        <v>0,00%</v>
      </c>
      <c r="E308" s="329" t="e">
        <f>#REF!</f>
        <v>#REF!</v>
      </c>
      <c r="F308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 t="str">
        <f t="shared" si="33"/>
        <v>0,00%</v>
      </c>
      <c r="E309" s="329" t="e">
        <f>#REF!</f>
        <v>#REF!</v>
      </c>
      <c r="F309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 t="str">
        <f t="shared" si="33"/>
        <v>0,00%</v>
      </c>
      <c r="E310" s="329" t="e">
        <f>#REF!</f>
        <v>#REF!</v>
      </c>
      <c r="F310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 t="str">
        <f t="shared" si="33"/>
        <v>0,00%</v>
      </c>
      <c r="E311" s="329" t="e">
        <f>#REF!</f>
        <v>#REF!</v>
      </c>
      <c r="F311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5">IFERROR(C316/$C$332,"0,00%")</f>
        <v>0,00%</v>
      </c>
      <c r="E316" s="329" t="e">
        <f>#REF!</f>
        <v>#REF!</v>
      </c>
      <c r="F31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0</v>
      </c>
      <c r="D317" s="450" t="str">
        <f t="shared" si="35"/>
        <v>0,00%</v>
      </c>
      <c r="E317" s="329" t="e">
        <f>#REF!</f>
        <v>#REF!</v>
      </c>
      <c r="F317"/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6"/>
        <v>0</v>
      </c>
      <c r="D318" s="450" t="str">
        <f t="shared" si="35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 t="str">
        <f t="shared" si="35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 t="str">
        <f t="shared" si="35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 t="str">
        <f t="shared" si="35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7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7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7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7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 t="str">
        <f t="shared" si="37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 t="str">
        <f t="shared" si="37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 t="str">
        <f t="shared" si="37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SUM(D337:D360)</f>
        <v>0</v>
      </c>
      <c r="E336" s="336">
        <v>1</v>
      </c>
      <c r="F336" s="34"/>
    </row>
    <row r="337" spans="2:8" x14ac:dyDescent="0.25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</row>
    <row r="338" spans="2:8" x14ac:dyDescent="0.25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8">IFERROR(C338/$C$336,"0,00%")</f>
        <v>0,00%</v>
      </c>
      <c r="E338" s="337">
        <v>0.33251761890884102</v>
      </c>
      <c r="F338" s="34"/>
      <c r="H338" s="246">
        <f t="shared" ref="H338:H360" si="39">C4</f>
        <v>0</v>
      </c>
    </row>
    <row r="339" spans="2:8" hidden="1" x14ac:dyDescent="0.25">
      <c r="B339" s="413">
        <f>Fluxo_de_Caixa_Janeiro[[#This Row],[Fluxo de Caixa 2026 CTR]]</f>
        <v>0</v>
      </c>
      <c r="C339" s="62"/>
      <c r="D339" s="414" t="str">
        <f t="shared" si="38"/>
        <v>0,00%</v>
      </c>
      <c r="E339" s="337">
        <v>0.31943681701513732</v>
      </c>
      <c r="F339" s="34"/>
      <c r="H339" s="246">
        <f t="shared" si="39"/>
        <v>0</v>
      </c>
    </row>
    <row r="340" spans="2:8" x14ac:dyDescent="0.25">
      <c r="B340" s="413" t="str">
        <f>Fluxo_de_Caixa_Janeiro[[#This Row],[Fluxo de Caixa 2026 CTR]]</f>
        <v>1.2-BRADESCO 15232-3 MATRIZ</v>
      </c>
      <c r="C340" s="62"/>
      <c r="D340" s="414" t="str">
        <f t="shared" si="38"/>
        <v>0,00%</v>
      </c>
      <c r="E340" s="337">
        <v>0</v>
      </c>
      <c r="F340" s="34"/>
      <c r="H340" s="246">
        <f t="shared" si="39"/>
        <v>0</v>
      </c>
    </row>
    <row r="341" spans="2:8" x14ac:dyDescent="0.25">
      <c r="B341" s="413">
        <f>Fluxo_de_Caixa_Janeiro[[#This Row],[Fluxo de Caixa 2026 CTR]]</f>
        <v>0</v>
      </c>
      <c r="C341" s="62"/>
      <c r="D341" s="414" t="str">
        <f t="shared" si="38"/>
        <v>0,00%</v>
      </c>
      <c r="E341" s="337">
        <v>1.4395773294013838E-2</v>
      </c>
      <c r="F341" s="34"/>
      <c r="H341" s="246">
        <f t="shared" si="39"/>
        <v>0</v>
      </c>
    </row>
    <row r="342" spans="2:8" x14ac:dyDescent="0.25">
      <c r="B342" s="413" t="str">
        <f>Fluxo_de_Caixa_Janeiro[[#This Row],[Fluxo de Caixa 2026 CTR]]</f>
        <v>1.3 - BANCO STONE MATRIZ C.C 40256726-7</v>
      </c>
      <c r="C342" s="62"/>
      <c r="D342" s="414" t="str">
        <f t="shared" si="38"/>
        <v>0,00%</v>
      </c>
      <c r="E342" s="337">
        <v>1.1641126229335877E-2</v>
      </c>
      <c r="F342" s="34"/>
      <c r="H342" s="246">
        <f>C8</f>
        <v>0</v>
      </c>
    </row>
    <row r="343" spans="2:8" x14ac:dyDescent="0.25">
      <c r="B343" s="413" t="str">
        <f>Fluxo_de_Caixa_Janeiro[[#This Row],[Fluxo de Caixa 2026 CTR]]</f>
        <v>1.4 - BANCO DA AMAZONIA 071730-7 MATRIZ</v>
      </c>
      <c r="C343" s="62"/>
      <c r="D343" s="414" t="str">
        <f t="shared" si="38"/>
        <v>0,00%</v>
      </c>
      <c r="E343" s="337">
        <v>2.4641733370120961E-2</v>
      </c>
      <c r="F343" s="34"/>
      <c r="H343" s="246">
        <f t="shared" si="39"/>
        <v>0</v>
      </c>
    </row>
    <row r="344" spans="2:8" x14ac:dyDescent="0.25">
      <c r="B344" s="413" t="str">
        <f>Fluxo_de_Caixa_Janeiro[[#This Row],[Fluxo de Caixa 2026 CTR]]</f>
        <v>1.4.1.INVESTIMENTO CDBORE RCP TXFL</v>
      </c>
      <c r="C344" s="62"/>
      <c r="D344" s="414" t="str">
        <f t="shared" si="38"/>
        <v>0,00%</v>
      </c>
      <c r="E344" s="337">
        <v>0</v>
      </c>
      <c r="F344" s="34"/>
      <c r="H344" s="246">
        <f t="shared" si="39"/>
        <v>0</v>
      </c>
    </row>
    <row r="345" spans="2:8" x14ac:dyDescent="0.25">
      <c r="B345" s="413" t="str">
        <f>Fluxo_de_Caixa_Janeiro[[#This Row],[Fluxo de Caixa 2026 CTR]]</f>
        <v>1.5 -  ITAU C.C.98671-6 MATRIZ</v>
      </c>
      <c r="C345" s="62"/>
      <c r="D345" s="414" t="str">
        <f t="shared" si="38"/>
        <v>0,00%</v>
      </c>
      <c r="E345" s="337">
        <v>0</v>
      </c>
      <c r="F345" s="34"/>
      <c r="H345" s="246">
        <f t="shared" si="39"/>
        <v>0</v>
      </c>
    </row>
    <row r="346" spans="2:8" x14ac:dyDescent="0.25">
      <c r="B346" s="413" t="str">
        <f>Fluxo_de_Caixa_Janeiro[[#This Row],[Fluxo de Caixa 2026 CTR]]</f>
        <v>1.5.03. ITAU C.C 83290-2 GARANTIDA</v>
      </c>
      <c r="C346" s="62"/>
      <c r="D346" s="414" t="str">
        <f t="shared" si="38"/>
        <v>0,00%</v>
      </c>
      <c r="E346" s="337">
        <v>0</v>
      </c>
      <c r="F346" s="34"/>
      <c r="H346" s="246">
        <f t="shared" si="39"/>
        <v>0</v>
      </c>
    </row>
    <row r="347" spans="2:8" x14ac:dyDescent="0.25">
      <c r="B347" s="413" t="str">
        <f>Fluxo_de_Caixa_Janeiro[[#This Row],[Fluxo de Caixa 2026 CTR]]</f>
        <v>1.9 - CONTA PERDA/ROUBO/BONIFICAÇÃO E DOAÇÃO</v>
      </c>
      <c r="C347" s="62"/>
      <c r="D347" s="414" t="str">
        <f t="shared" si="38"/>
        <v>0,00%</v>
      </c>
      <c r="E347" s="337">
        <v>4.031448971430979E-3</v>
      </c>
      <c r="H347" s="246">
        <f t="shared" si="39"/>
        <v>0</v>
      </c>
    </row>
    <row r="348" spans="2:8" x14ac:dyDescent="0.25">
      <c r="B348" s="413">
        <f>Fluxo_de_Caixa_Janeiro[[#This Row],[Fluxo de Caixa 2026 CTR]]</f>
        <v>0</v>
      </c>
      <c r="C348" s="62"/>
      <c r="D348" s="414" t="str">
        <f t="shared" si="38"/>
        <v>0,00%</v>
      </c>
      <c r="E348" s="337" t="e">
        <f>#REF!</f>
        <v>#REF!</v>
      </c>
      <c r="H348" s="246">
        <f t="shared" si="39"/>
        <v>0</v>
      </c>
    </row>
    <row r="349" spans="2:8" x14ac:dyDescent="0.25">
      <c r="B349" s="413" t="str">
        <f>Fluxo_de_Caixa_Janeiro[[#This Row],[Fluxo de Caixa 2026 CTR]]</f>
        <v>2.1 - BANCO DO BRASIL C.C.60638-3 FILIAL PALMAS</v>
      </c>
      <c r="C349" s="62"/>
      <c r="D349" s="414" t="str">
        <f t="shared" si="38"/>
        <v>0,00%</v>
      </c>
      <c r="E349" s="617" t="e">
        <f>#REF!</f>
        <v>#REF!</v>
      </c>
      <c r="H349" s="246">
        <f t="shared" si="39"/>
        <v>0</v>
      </c>
    </row>
    <row r="350" spans="2:8" x14ac:dyDescent="0.25">
      <c r="B350" s="413">
        <f>Fluxo_de_Caixa_Janeiro[[#This Row],[Fluxo de Caixa 2026 CTR]]</f>
        <v>0</v>
      </c>
      <c r="C350" s="62"/>
      <c r="D350" s="414" t="str">
        <f t="shared" si="38"/>
        <v>0,00%</v>
      </c>
      <c r="E350" s="617" t="e">
        <f>#REF!</f>
        <v>#REF!</v>
      </c>
      <c r="H350" s="246">
        <f t="shared" si="39"/>
        <v>0</v>
      </c>
    </row>
    <row r="351" spans="2:8" x14ac:dyDescent="0.25">
      <c r="B351" s="413">
        <f>Fluxo_de_Caixa_Janeiro[[#This Row],[Fluxo de Caixa 2026 CTR]]</f>
        <v>0</v>
      </c>
      <c r="C351" s="62"/>
      <c r="D351" s="414" t="str">
        <f t="shared" si="38"/>
        <v>0,00%</v>
      </c>
      <c r="E351" s="617" t="e">
        <f>#REF!</f>
        <v>#REF!</v>
      </c>
      <c r="H351" s="246">
        <f t="shared" si="39"/>
        <v>0</v>
      </c>
    </row>
    <row r="352" spans="2:8" x14ac:dyDescent="0.25">
      <c r="B352" s="413" t="str">
        <f>Fluxo_de_Caixa_Janeiro[[#This Row],[Fluxo de Caixa 2026 CTR]]</f>
        <v>2.4 - ITAU C.C.98669-0 FILIAL PALMAS</v>
      </c>
      <c r="C352" s="62"/>
      <c r="D352" s="414" t="str">
        <f t="shared" si="38"/>
        <v>0,00%</v>
      </c>
      <c r="E352" s="617" t="e">
        <f>#REF!</f>
        <v>#REF!</v>
      </c>
      <c r="H352" s="246">
        <f t="shared" si="39"/>
        <v>0</v>
      </c>
    </row>
    <row r="353" spans="2:8" x14ac:dyDescent="0.25">
      <c r="B353" s="413" t="str">
        <f>Fluxo_de_Caixa_Janeiro[[#This Row],[Fluxo de Caixa 2026 CTR]]</f>
        <v>2.9 - CONTA PERDA/ROUBO E BONIFICAÇÃO FILIAL</v>
      </c>
      <c r="C353" s="62"/>
      <c r="D353" s="414" t="str">
        <f t="shared" si="38"/>
        <v>0,00%</v>
      </c>
      <c r="E353" s="617" t="e">
        <f>#REF!</f>
        <v>#REF!</v>
      </c>
      <c r="H353" s="246">
        <f t="shared" si="39"/>
        <v>0</v>
      </c>
    </row>
    <row r="354" spans="2:8" x14ac:dyDescent="0.25">
      <c r="B354" s="413" t="str">
        <f>Fluxo_de_Caixa_Janeiro[[#This Row],[Fluxo de Caixa 2026 CTR]]</f>
        <v>4.0 - TESOURARIA FILIAL PORTO</v>
      </c>
      <c r="C354" s="62"/>
      <c r="D354" s="414" t="str">
        <f t="shared" si="38"/>
        <v>0,00%</v>
      </c>
      <c r="E354" s="617" t="e">
        <f>#REF!</f>
        <v>#REF!</v>
      </c>
      <c r="H354" s="246">
        <f t="shared" si="39"/>
        <v>0</v>
      </c>
    </row>
    <row r="355" spans="2:8" x14ac:dyDescent="0.25">
      <c r="B355" s="413" t="str">
        <f>Fluxo_de_Caixa_Janeiro[[#This Row],[Fluxo de Caixa 2026 CTR]]</f>
        <v>4.1 -  BANCO DO BRASIL C.C.61105-0 FILIAL PORTO</v>
      </c>
      <c r="C355" s="62"/>
      <c r="D355" s="414" t="str">
        <f t="shared" si="38"/>
        <v>0,00%</v>
      </c>
      <c r="E355" s="617" t="e">
        <f>#REF!</f>
        <v>#REF!</v>
      </c>
      <c r="H355" s="246">
        <f t="shared" si="39"/>
        <v>0</v>
      </c>
    </row>
    <row r="356" spans="2:8" x14ac:dyDescent="0.25">
      <c r="B356" s="413">
        <f>Fluxo_de_Caixa_Janeiro[[#This Row],[Fluxo de Caixa 2026 CTR]]</f>
        <v>0</v>
      </c>
      <c r="C356" s="62"/>
      <c r="D356" s="414" t="str">
        <f t="shared" si="38"/>
        <v>0,00%</v>
      </c>
      <c r="E356" s="617" t="e">
        <f>#REF!</f>
        <v>#REF!</v>
      </c>
      <c r="H356" s="246">
        <f t="shared" si="39"/>
        <v>0</v>
      </c>
    </row>
    <row r="357" spans="2:8" x14ac:dyDescent="0.25">
      <c r="B357" s="413" t="str">
        <f>Fluxo_de_Caixa_Janeiro[[#This Row],[Fluxo de Caixa 2026 CTR]]</f>
        <v>4.4 - MERCADO PAGO PIX FILIAL PORTO</v>
      </c>
      <c r="C357" s="62"/>
      <c r="D357" s="414" t="str">
        <f t="shared" si="38"/>
        <v>0,00%</v>
      </c>
      <c r="E357" s="337" t="e">
        <f>#REF!</f>
        <v>#REF!</v>
      </c>
      <c r="H357" s="246">
        <f t="shared" si="39"/>
        <v>0</v>
      </c>
    </row>
    <row r="358" spans="2:8" x14ac:dyDescent="0.25">
      <c r="B358" s="413" t="str">
        <f>Fluxo_de_Caixa_Janeiro[[#This Row],[Fluxo de Caixa 2026 CTR]]</f>
        <v>4.9 - CONTA PERDA/ROUBO E BONIFICAÇÃO FILIAL</v>
      </c>
      <c r="C358" s="62"/>
      <c r="D358" s="414" t="str">
        <f t="shared" si="38"/>
        <v>0,00%</v>
      </c>
      <c r="E358" s="337" t="e">
        <f>#REF!</f>
        <v>#REF!</v>
      </c>
      <c r="H358" s="246">
        <f t="shared" si="39"/>
        <v>0</v>
      </c>
    </row>
    <row r="359" spans="2:8" x14ac:dyDescent="0.25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8"/>
        <v>0,00%</v>
      </c>
      <c r="E359" s="617" t="e">
        <f>#REF!</f>
        <v>#REF!</v>
      </c>
      <c r="H359" s="246">
        <f t="shared" si="39"/>
        <v>0</v>
      </c>
    </row>
    <row r="360" spans="2:8" hidden="1" x14ac:dyDescent="0.25">
      <c r="B360" s="413">
        <f>Fluxo_de_Caixa_Janeiro[[#This Row],[Fluxo de Caixa 2026 CTR]]</f>
        <v>0</v>
      </c>
      <c r="C360" s="62">
        <v>0</v>
      </c>
      <c r="D360" s="414" t="str">
        <f t="shared" si="38"/>
        <v>0,00%</v>
      </c>
      <c r="E360" s="337" t="e">
        <f>#REF!</f>
        <v>#REF!</v>
      </c>
      <c r="H360" s="246">
        <f t="shared" si="39"/>
        <v>0</v>
      </c>
    </row>
    <row r="361" spans="2:8" ht="24" thickBot="1" x14ac:dyDescent="0.4">
      <c r="B361" s="463"/>
      <c r="C361" s="464">
        <f>SUM(C337:C360)-C335</f>
        <v>0</v>
      </c>
      <c r="D361" s="465" t="str">
        <f>IFERROR(C361/C336,"0,00%")</f>
        <v>0,00%</v>
      </c>
      <c r="E361" s="338" t="e">
        <f>#REF!</f>
        <v>#REF!</v>
      </c>
    </row>
    <row r="362" spans="2:8" x14ac:dyDescent="0.25"/>
    <row r="363" spans="2:8" x14ac:dyDescent="0.25">
      <c r="C363" s="404">
        <f>SUM(C337:C346,C348:C357,C359)</f>
        <v>0</v>
      </c>
    </row>
    <row r="364" spans="2:8" x14ac:dyDescent="0.25"/>
    <row r="365" spans="2:8" x14ac:dyDescent="0.25"/>
    <row r="366" spans="2:8" x14ac:dyDescent="0.25"/>
    <row r="367" spans="2:8" x14ac:dyDescent="0.25"/>
    <row r="368" spans="2: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</sheetData>
  <protectedRanges>
    <protectedRange sqref="C3:C26" name="Intervalo1"/>
    <protectedRange sqref="C344:C360" name="Saldo Final de Banco_2"/>
    <protectedRange sqref="C337:C343" name="Saldo Final de Banco_1_1"/>
  </protectedRanges>
  <conditionalFormatting sqref="C86">
    <cfRule type="cellIs" dxfId="173" priority="1" operator="lessThan">
      <formula>0</formula>
    </cfRule>
  </conditionalFormatting>
  <conditionalFormatting sqref="C237">
    <cfRule type="cellIs" dxfId="172" priority="2" operator="greaterThan">
      <formula>0</formula>
    </cfRule>
    <cfRule type="cellIs" dxfId="171" priority="3" operator="lessThan">
      <formula>0</formula>
    </cfRule>
    <cfRule type="cellIs" dxfId="170" priority="4" operator="greaterThan">
      <formula>0</formula>
    </cfRule>
  </conditionalFormatting>
  <conditionalFormatting sqref="C334">
    <cfRule type="cellIs" dxfId="169" priority="5" operator="lessThan">
      <formula>0</formula>
    </cfRule>
    <cfRule type="cellIs" dxfId="168" priority="6" operator="greaterThan">
      <formula>0</formula>
    </cfRule>
  </conditionalFormatting>
  <conditionalFormatting sqref="C335">
    <cfRule type="cellIs" dxfId="167" priority="7" operator="lessThan">
      <formula>0</formula>
    </cfRule>
    <cfRule type="cellIs" dxfId="166" priority="8" operator="greaterThan">
      <formula>0.001</formula>
    </cfRule>
    <cfRule type="cellIs" dxfId="165" priority="9" operator="lessThan">
      <formula>0</formula>
    </cfRule>
    <cfRule type="cellIs" dxfId="164" priority="10" operator="greaterThan">
      <formula>0</formula>
    </cfRule>
    <cfRule type="aboveAverage" dxfId="163" priority="11" aboveAverage="0"/>
  </conditionalFormatting>
  <conditionalFormatting sqref="D86">
    <cfRule type="cellIs" dxfId="162" priority="29" operator="lessThan">
      <formula>0</formula>
    </cfRule>
  </conditionalFormatting>
  <conditionalFormatting sqref="D237 D334">
    <cfRule type="cellIs" dxfId="161" priority="36" operator="greaterThan">
      <formula>0</formula>
    </cfRule>
  </conditionalFormatting>
  <conditionalFormatting sqref="D237">
    <cfRule type="cellIs" dxfId="160" priority="32" operator="lessThan">
      <formula>0</formula>
    </cfRule>
    <cfRule type="cellIs" dxfId="159" priority="31" operator="greaterThan">
      <formula>0</formula>
    </cfRule>
  </conditionalFormatting>
  <conditionalFormatting sqref="D334">
    <cfRule type="cellIs" dxfId="158" priority="35" operator="lessThan">
      <formula>0</formula>
    </cfRule>
  </conditionalFormatting>
  <conditionalFormatting sqref="D335">
    <cfRule type="cellIs" dxfId="157" priority="34" operator="greaterThan">
      <formula>0</formula>
    </cfRule>
    <cfRule type="cellIs" dxfId="156" priority="33" operator="lessThan">
      <formula>0</formula>
    </cfRule>
    <cfRule type="cellIs" dxfId="155" priority="30" operator="greaterThan">
      <formula>0</formula>
    </cfRule>
    <cfRule type="aboveAverage" dxfId="154" priority="37" aboveAverage="0"/>
  </conditionalFormatting>
  <conditionalFormatting sqref="E86">
    <cfRule type="cellIs" dxfId="153" priority="20" operator="lessThan">
      <formula>0</formula>
    </cfRule>
  </conditionalFormatting>
  <conditionalFormatting sqref="E237 E334">
    <cfRule type="cellIs" dxfId="152" priority="27" operator="greaterThan">
      <formula>0</formula>
    </cfRule>
  </conditionalFormatting>
  <conditionalFormatting sqref="E237">
    <cfRule type="cellIs" dxfId="151" priority="23" operator="lessThan">
      <formula>0</formula>
    </cfRule>
    <cfRule type="cellIs" dxfId="150" priority="22" operator="greaterThan">
      <formula>0</formula>
    </cfRule>
  </conditionalFormatting>
  <conditionalFormatting sqref="E334">
    <cfRule type="cellIs" dxfId="149" priority="26" operator="lessThan">
      <formula>0</formula>
    </cfRule>
  </conditionalFormatting>
  <conditionalFormatting sqref="E335">
    <cfRule type="aboveAverage" dxfId="148" priority="28" aboveAverage="0"/>
    <cfRule type="cellIs" dxfId="147" priority="21" operator="greaterThan">
      <formula>0</formula>
    </cfRule>
    <cfRule type="cellIs" dxfId="146" priority="24" operator="lessThan">
      <formula>0</formula>
    </cfRule>
    <cfRule type="cellIs" dxfId="145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44" priority="101" operator="containsText" text="FALSO">
      <formula>NOT(ISERROR(SEARCH("FALSO",F27)))</formula>
    </cfRule>
    <cfRule type="containsText" dxfId="143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142" priority="40" operator="containsText" text="FALSO">
      <formula>NOT(ISERROR(SEARCH("FALSO",F28)))</formula>
    </cfRule>
    <cfRule type="containsText" dxfId="141" priority="41" operator="containsText" text="VERDADEIRO">
      <formula>NOT(ISERROR(SEARCH("VERDADEIRO",F28)))</formula>
    </cfRule>
  </conditionalFormatting>
  <conditionalFormatting sqref="F28 F272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9:F47">
    <cfRule type="containsText" dxfId="140" priority="17" operator="containsText" text="Verd">
      <formula>NOT(ISERROR(SEARCH("Verd",F29)))</formula>
    </cfRule>
    <cfRule type="containsText" dxfId="139" priority="16" operator="containsText" text="Fals">
      <formula>NOT(ISERROR(SEARCH("Fals",F29)))</formula>
    </cfRule>
  </conditionalFormatting>
  <conditionalFormatting sqref="F49:F86">
    <cfRule type="containsText" dxfId="138" priority="15" operator="containsText" text="Verd">
      <formula>NOT(ISERROR(SEARCH("Verd",F49)))</formula>
    </cfRule>
    <cfRule type="containsText" dxfId="137" priority="14" operator="containsText" text="Fals">
      <formula>NOT(ISERROR(SEARCH("Fals",F49)))</formula>
    </cfRule>
  </conditionalFormatting>
  <conditionalFormatting sqref="F88:F271">
    <cfRule type="containsText" dxfId="136" priority="19" operator="containsText" text="Verd">
      <formula>NOT(ISERROR(SEARCH("Verd",F88)))</formula>
    </cfRule>
    <cfRule type="containsText" dxfId="135" priority="18" operator="containsText" text="Fals">
      <formula>NOT(ISERROR(SEARCH("Fals",F88)))</formula>
    </cfRule>
  </conditionalFormatting>
  <conditionalFormatting sqref="F273:F330">
    <cfRule type="containsText" dxfId="134" priority="13" operator="containsText" text="Verd">
      <formula>NOT(ISERROR(SEARCH("Verd",F273)))</formula>
    </cfRule>
    <cfRule type="containsText" dxfId="133" priority="12" operator="containsText" text="Fals">
      <formula>NOT(ISERROR(SEARCH("Fals",F273)))</formula>
    </cfRule>
  </conditionalFormatting>
  <pageMargins left="0.23622047244094491" right="0.23622047244094491" top="0.74803149606299213" bottom="0.74803149606299213" header="0.31496062992125984" footer="0.31496062992125984"/>
  <pageSetup paperSize="9" scale="52" fitToWidth="2" fitToHeight="3" orientation="portrait" r:id="rId1"/>
  <rowBreaks count="2" manualBreakCount="2">
    <brk id="86" min="1" max="21" man="1"/>
    <brk id="199" min="1" max="21" man="1"/>
  </rowBreaks>
  <colBreaks count="1" manualBreakCount="1">
    <brk id="10" max="342" man="1"/>
  </colBreak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1C58-1D19-440D-934C-DDC37E5D1EE6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2" activePane="bottomRight" state="frozen"/>
      <selection activeCell="G6" sqref="G6"/>
      <selection pane="topRight" activeCell="G6" sqref="G6"/>
      <selection pane="bottomLeft" activeCell="G6" sqref="G6"/>
      <selection pane="bottomRight" activeCell="D2" sqref="D2"/>
    </sheetView>
  </sheetViews>
  <sheetFormatPr defaultColWidth="0" defaultRowHeight="15" zeroHeight="1" x14ac:dyDescent="0.25"/>
  <cols>
    <col min="1" max="1" width="9.140625" hidden="1" customWidth="1"/>
    <col min="2" max="2" width="67.85546875" customWidth="1"/>
    <col min="3" max="3" width="27.42578125" bestFit="1" customWidth="1"/>
    <col min="4" max="4" width="16.7109375" style="258" bestFit="1" customWidth="1"/>
    <col min="5" max="5" width="14.85546875" style="253" hidden="1" customWidth="1"/>
    <col min="6" max="6" width="5" style="33" hidden="1" customWidth="1"/>
    <col min="7" max="7" width="13.140625" customWidth="1"/>
    <col min="8" max="8" width="21.42578125" style="246" bestFit="1" customWidth="1"/>
    <col min="9" max="9" width="19.85546875" bestFit="1" customWidth="1"/>
    <col min="10" max="10" width="22.28515625" customWidth="1"/>
    <col min="11" max="11" width="20.140625" hidden="1" customWidth="1"/>
    <col min="12" max="12" width="24.7109375" hidden="1" customWidth="1"/>
    <col min="13" max="16384" width="9.140625" hidden="1"/>
  </cols>
  <sheetData>
    <row r="1" spans="1:10" ht="36.75" customHeight="1" thickBot="1" x14ac:dyDescent="0.4">
      <c r="B1" s="408" t="s">
        <v>303</v>
      </c>
      <c r="C1" s="471" t="s">
        <v>167</v>
      </c>
      <c r="D1" s="410" t="s">
        <v>313</v>
      </c>
      <c r="E1" s="61" t="s">
        <v>60</v>
      </c>
      <c r="F1" s="30"/>
      <c r="H1" s="616" t="s">
        <v>246</v>
      </c>
      <c r="I1" s="616" t="s">
        <v>274</v>
      </c>
      <c r="J1" s="616" t="s">
        <v>294</v>
      </c>
    </row>
    <row r="2" spans="1:10" s="1" customFormat="1" ht="24" thickBot="1" x14ac:dyDescent="0.4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SUM(D3:D17)</f>
        <v>0</v>
      </c>
      <c r="E2" s="307"/>
      <c r="F2" s="31"/>
      <c r="H2" s="285"/>
      <c r="I2" s="285"/>
    </row>
    <row r="3" spans="1:10" x14ac:dyDescent="0.25">
      <c r="B3" s="413" t="str">
        <f>Fluxo_de_Caixa_Janeiro[[#This Row],[Fluxo de Caixa 2026 CTR]]</f>
        <v>1.0 - TESOURARIA MATRIZ PALMAS</v>
      </c>
      <c r="C3" s="62">
        <f>NOVEMBRO!C337</f>
        <v>0</v>
      </c>
      <c r="D3" s="414" t="str">
        <f>IF(C3=0,"0,00%",C3/$C$2)</f>
        <v>0,00%</v>
      </c>
      <c r="E3" s="66"/>
      <c r="F3" s="31"/>
      <c r="I3" s="246"/>
    </row>
    <row r="4" spans="1:10" x14ac:dyDescent="0.25">
      <c r="B4" s="413" t="str">
        <f>Fluxo_de_Caixa_Janeiro[[#This Row],[Fluxo de Caixa 2026 CTR]]</f>
        <v>1.1 - BANCO DO BRASIL C.C.60409-7 MATRIZ</v>
      </c>
      <c r="C4" s="62">
        <f>NOVEMBRO!C338</f>
        <v>0</v>
      </c>
      <c r="D4" s="414" t="str">
        <f t="shared" ref="D4:D17" si="0">IF(C4=0,"0,00%",C4/$C$2)</f>
        <v>0,00%</v>
      </c>
      <c r="E4" s="66"/>
      <c r="F4" s="31"/>
      <c r="I4" s="246"/>
    </row>
    <row r="5" spans="1:10" x14ac:dyDescent="0.25">
      <c r="B5" s="413">
        <f>Fluxo_de_Caixa_Janeiro[[#This Row],[Fluxo de Caixa 2026 CTR]]</f>
        <v>0</v>
      </c>
      <c r="C5" s="62">
        <f>NOVEMBRO!C339</f>
        <v>0</v>
      </c>
      <c r="D5" s="414" t="str">
        <f t="shared" si="0"/>
        <v>0,00%</v>
      </c>
      <c r="E5" s="66"/>
      <c r="F5" s="31"/>
      <c r="I5" s="246"/>
    </row>
    <row r="6" spans="1:10" x14ac:dyDescent="0.25">
      <c r="B6" s="413" t="str">
        <f>Fluxo_de_Caixa_Janeiro[[#This Row],[Fluxo de Caixa 2026 CTR]]</f>
        <v>1.2-BRADESCO 15232-3 MATRIZ</v>
      </c>
      <c r="C6" s="62">
        <f>NOVEMBRO!C340</f>
        <v>0</v>
      </c>
      <c r="D6" s="414" t="str">
        <f t="shared" si="0"/>
        <v>0,00%</v>
      </c>
      <c r="E6" s="66"/>
      <c r="F6" s="31"/>
      <c r="I6" s="246"/>
    </row>
    <row r="7" spans="1:10" x14ac:dyDescent="0.25">
      <c r="B7" s="413">
        <f>Fluxo_de_Caixa_Janeiro[[#This Row],[Fluxo de Caixa 2026 CTR]]</f>
        <v>0</v>
      </c>
      <c r="C7" s="62">
        <f>NOVEMBRO!C341</f>
        <v>0</v>
      </c>
      <c r="D7" s="414" t="str">
        <f t="shared" si="0"/>
        <v>0,00%</v>
      </c>
      <c r="E7" s="66"/>
      <c r="F7" s="31"/>
      <c r="I7" s="246"/>
    </row>
    <row r="8" spans="1:10" x14ac:dyDescent="0.25">
      <c r="B8" s="413" t="str">
        <f>Fluxo_de_Caixa_Janeiro[[#This Row],[Fluxo de Caixa 2026 CTR]]</f>
        <v>1.3 - BANCO STONE MATRIZ C.C 40256726-7</v>
      </c>
      <c r="C8" s="62">
        <f>NOVEMBRO!C342</f>
        <v>0</v>
      </c>
      <c r="D8" s="414" t="str">
        <f t="shared" si="0"/>
        <v>0,00%</v>
      </c>
      <c r="E8" s="66"/>
      <c r="F8" s="31"/>
      <c r="I8" s="246"/>
    </row>
    <row r="9" spans="1:10" x14ac:dyDescent="0.25">
      <c r="B9" s="413" t="str">
        <f>Fluxo_de_Caixa_Janeiro[[#This Row],[Fluxo de Caixa 2026 CTR]]</f>
        <v>1.4 - BANCO DA AMAZONIA 071730-7 MATRIZ</v>
      </c>
      <c r="C9" s="62">
        <f>NOVEMBRO!C343</f>
        <v>0</v>
      </c>
      <c r="D9" s="414" t="str">
        <f t="shared" si="0"/>
        <v>0,00%</v>
      </c>
      <c r="E9" s="66"/>
      <c r="F9" s="31"/>
      <c r="I9" s="246"/>
    </row>
    <row r="10" spans="1:10" x14ac:dyDescent="0.25">
      <c r="B10" s="413" t="str">
        <f>Fluxo_de_Caixa_Janeiro[[#This Row],[Fluxo de Caixa 2026 CTR]]</f>
        <v>1.4.1.INVESTIMENTO CDBORE RCP TXFL</v>
      </c>
      <c r="C10" s="62">
        <f>NOVEMBRO!C344</f>
        <v>0</v>
      </c>
      <c r="D10" s="414" t="str">
        <f t="shared" si="0"/>
        <v>0,00%</v>
      </c>
      <c r="E10" s="66"/>
      <c r="F10" s="31"/>
      <c r="I10" s="246"/>
    </row>
    <row r="11" spans="1:10" x14ac:dyDescent="0.25">
      <c r="B11" s="413" t="str">
        <f>Fluxo_de_Caixa_Janeiro[[#This Row],[Fluxo de Caixa 2026 CTR]]</f>
        <v>1.5 -  ITAU C.C.98671-6 MATRIZ</v>
      </c>
      <c r="C11" s="62">
        <f>NOVEMBRO!C345</f>
        <v>0</v>
      </c>
      <c r="D11" s="414" t="str">
        <f t="shared" si="0"/>
        <v>0,00%</v>
      </c>
      <c r="E11" s="66"/>
      <c r="F11" s="31"/>
      <c r="I11" s="246"/>
    </row>
    <row r="12" spans="1:10" x14ac:dyDescent="0.25">
      <c r="B12" s="413" t="str">
        <f>Fluxo_de_Caixa_Janeiro[[#This Row],[Fluxo de Caixa 2026 CTR]]</f>
        <v>1.5.03. ITAU C.C 83290-2 GARANTIDA</v>
      </c>
      <c r="C12" s="62">
        <f>NOVEMBRO!C346</f>
        <v>0</v>
      </c>
      <c r="D12" s="414" t="str">
        <f t="shared" si="0"/>
        <v>0,00%</v>
      </c>
      <c r="E12" s="66"/>
      <c r="F12" s="31"/>
      <c r="I12" s="246"/>
    </row>
    <row r="13" spans="1:10" x14ac:dyDescent="0.25">
      <c r="B13" s="413" t="str">
        <f>Fluxo_de_Caixa_Janeiro[[#This Row],[Fluxo de Caixa 2026 CTR]]</f>
        <v>1.9 - CONTA PERDA/ROUBO/BONIFICAÇÃO E DOAÇÃO</v>
      </c>
      <c r="C13" s="62">
        <f>NOVEMBRO!C347</f>
        <v>0</v>
      </c>
      <c r="D13" s="414" t="str">
        <f t="shared" si="0"/>
        <v>0,00%</v>
      </c>
      <c r="E13" s="66"/>
      <c r="F13" s="31"/>
      <c r="I13" s="246"/>
    </row>
    <row r="14" spans="1:10" x14ac:dyDescent="0.25">
      <c r="B14" s="413">
        <f>Fluxo_de_Caixa_Janeiro[[#This Row],[Fluxo de Caixa 2026 CTR]]</f>
        <v>0</v>
      </c>
      <c r="C14" s="62">
        <f>NOVEMBRO!C348</f>
        <v>0</v>
      </c>
      <c r="D14" s="414" t="str">
        <f t="shared" si="0"/>
        <v>0,00%</v>
      </c>
      <c r="E14" s="66"/>
      <c r="F14" s="31"/>
      <c r="I14" s="246"/>
    </row>
    <row r="15" spans="1:10" x14ac:dyDescent="0.25">
      <c r="B15" s="413" t="str">
        <f>Fluxo_de_Caixa_Janeiro[[#This Row],[Fluxo de Caixa 2026 CTR]]</f>
        <v>2.1 - BANCO DO BRASIL C.C.60638-3 FILIAL PALMAS</v>
      </c>
      <c r="C15" s="62">
        <f>NOVEMBRO!C349</f>
        <v>0</v>
      </c>
      <c r="D15" s="414" t="str">
        <f t="shared" si="0"/>
        <v>0,00%</v>
      </c>
      <c r="E15" s="66"/>
      <c r="F15" s="31"/>
      <c r="I15" s="246"/>
    </row>
    <row r="16" spans="1:10" x14ac:dyDescent="0.25">
      <c r="B16" s="413">
        <f>Fluxo_de_Caixa_Janeiro[[#This Row],[Fluxo de Caixa 2026 CTR]]</f>
        <v>0</v>
      </c>
      <c r="C16" s="62">
        <f>NOVEMBRO!C350</f>
        <v>0</v>
      </c>
      <c r="D16" s="414" t="str">
        <f t="shared" si="0"/>
        <v>0,00%</v>
      </c>
      <c r="E16" s="66"/>
      <c r="F16" s="31"/>
      <c r="I16" s="246"/>
    </row>
    <row r="17" spans="1:10" ht="15.75" thickBot="1" x14ac:dyDescent="0.3">
      <c r="B17" s="413">
        <f>Fluxo_de_Caixa_Janeiro[[#This Row],[Fluxo de Caixa 2026 CTR]]</f>
        <v>0</v>
      </c>
      <c r="C17" s="62">
        <f>NOVEMBRO!C351</f>
        <v>0</v>
      </c>
      <c r="D17" s="414" t="str">
        <f t="shared" si="0"/>
        <v>0,00%</v>
      </c>
      <c r="E17" s="67"/>
      <c r="F17" s="31"/>
      <c r="I17" s="246"/>
    </row>
    <row r="18" spans="1:10" x14ac:dyDescent="0.25">
      <c r="B18" s="413" t="str">
        <f>Fluxo_de_Caixa_Janeiro[[#This Row],[Fluxo de Caixa 2026 CTR]]</f>
        <v>2.4 - ITAU C.C.98669-0 FILIAL PALMAS</v>
      </c>
      <c r="C18" s="62">
        <f>NOVEMBRO!C352</f>
        <v>0</v>
      </c>
      <c r="D18" s="414" t="str">
        <f t="shared" ref="D18:D26" si="1">IF(C18=0,"0,00%",C18/$C$2)</f>
        <v>0,00%</v>
      </c>
      <c r="E18" s="617" t="e">
        <f>#REF!</f>
        <v>#REF!</v>
      </c>
      <c r="F18" s="31"/>
      <c r="I18" s="246"/>
    </row>
    <row r="19" spans="1:10" x14ac:dyDescent="0.25">
      <c r="B19" s="413" t="str">
        <f>Fluxo_de_Caixa_Janeiro[[#This Row],[Fluxo de Caixa 2026 CTR]]</f>
        <v>2.9 - CONTA PERDA/ROUBO E BONIFICAÇÃO FILIAL</v>
      </c>
      <c r="C19" s="62">
        <f>NOVEMBRO!C353</f>
        <v>0</v>
      </c>
      <c r="D19" s="414" t="str">
        <f t="shared" si="1"/>
        <v>0,00%</v>
      </c>
      <c r="E19" s="617" t="e">
        <f>#REF!</f>
        <v>#REF!</v>
      </c>
      <c r="F19" s="31"/>
      <c r="I19" s="246"/>
    </row>
    <row r="20" spans="1:10" x14ac:dyDescent="0.25">
      <c r="B20" s="413" t="str">
        <f>Fluxo_de_Caixa_Janeiro[[#This Row],[Fluxo de Caixa 2026 CTR]]</f>
        <v>4.0 - TESOURARIA FILIAL PORTO</v>
      </c>
      <c r="C20" s="62">
        <f>NOVEMBRO!C354</f>
        <v>0</v>
      </c>
      <c r="D20" s="414" t="str">
        <f t="shared" si="1"/>
        <v>0,00%</v>
      </c>
      <c r="E20" s="617" t="e">
        <f>#REF!</f>
        <v>#REF!</v>
      </c>
      <c r="F20" s="31"/>
      <c r="I20" s="246"/>
    </row>
    <row r="21" spans="1:10" x14ac:dyDescent="0.25">
      <c r="B21" s="413" t="str">
        <f>Fluxo_de_Caixa_Janeiro[[#This Row],[Fluxo de Caixa 2026 CTR]]</f>
        <v>4.1 -  BANCO DO BRASIL C.C.61105-0 FILIAL PORTO</v>
      </c>
      <c r="C21" s="62">
        <f>NOVEMBRO!C355</f>
        <v>0</v>
      </c>
      <c r="D21" s="414" t="str">
        <f t="shared" si="1"/>
        <v>0,00%</v>
      </c>
      <c r="E21" s="617" t="e">
        <f>#REF!</f>
        <v>#REF!</v>
      </c>
      <c r="F21" s="31"/>
      <c r="I21" s="246"/>
    </row>
    <row r="22" spans="1:10" x14ac:dyDescent="0.25">
      <c r="B22" s="413">
        <f>Fluxo_de_Caixa_Janeiro[[#This Row],[Fluxo de Caixa 2026 CTR]]</f>
        <v>0</v>
      </c>
      <c r="C22" s="62">
        <f>NOVEMBRO!C356</f>
        <v>0</v>
      </c>
      <c r="D22" s="414" t="str">
        <f t="shared" si="1"/>
        <v>0,00%</v>
      </c>
      <c r="E22" s="617" t="e">
        <f>#REF!</f>
        <v>#REF!</v>
      </c>
      <c r="F22" s="31"/>
      <c r="I22" s="246"/>
    </row>
    <row r="23" spans="1:10" x14ac:dyDescent="0.25">
      <c r="B23" s="413" t="str">
        <f>Fluxo_de_Caixa_Janeiro[[#This Row],[Fluxo de Caixa 2026 CTR]]</f>
        <v>4.4 - MERCADO PAGO PIX FILIAL PORTO</v>
      </c>
      <c r="C23" s="62">
        <f>NOVEMBRO!C357</f>
        <v>0</v>
      </c>
      <c r="D23" s="414" t="str">
        <f t="shared" si="1"/>
        <v>0,00%</v>
      </c>
      <c r="E23" s="617" t="e">
        <f>#REF!</f>
        <v>#REF!</v>
      </c>
      <c r="F23" s="31"/>
      <c r="I23" s="246"/>
    </row>
    <row r="24" spans="1:10" x14ac:dyDescent="0.25">
      <c r="B24" s="413" t="str">
        <f>Fluxo_de_Caixa_Janeiro[[#This Row],[Fluxo de Caixa 2026 CTR]]</f>
        <v>4.9 - CONTA PERDA/ROUBO E BONIFICAÇÃO FILIAL</v>
      </c>
      <c r="C24" s="62">
        <f>NOVEMBRO!C358</f>
        <v>0</v>
      </c>
      <c r="D24" s="414" t="str">
        <f t="shared" si="1"/>
        <v>0,00%</v>
      </c>
      <c r="E24" s="617" t="e">
        <f>#REF!</f>
        <v>#REF!</v>
      </c>
      <c r="F24" s="31"/>
      <c r="I24" s="246"/>
    </row>
    <row r="25" spans="1:10" x14ac:dyDescent="0.25">
      <c r="B25" s="413" t="str">
        <f>Fluxo_de_Caixa_Janeiro[[#This Row],[Fluxo de Caixa 2026 CTR]]</f>
        <v>91.CARTÃO ENDERED 5099+4596+6933+8072 - ESCRITORIO</v>
      </c>
      <c r="C25" s="62">
        <f>NOVEMBRO!C359</f>
        <v>0</v>
      </c>
      <c r="D25" s="414" t="str">
        <f t="shared" si="1"/>
        <v>0,00%</v>
      </c>
      <c r="E25" s="617" t="e">
        <f>#REF!</f>
        <v>#REF!</v>
      </c>
      <c r="F25" s="31"/>
      <c r="I25" s="246"/>
    </row>
    <row r="26" spans="1:10" x14ac:dyDescent="0.25">
      <c r="B26" s="413">
        <f>Fluxo_de_Caixa_Janeiro[[#This Row],[Fluxo de Caixa 2026 CTR]]</f>
        <v>0</v>
      </c>
      <c r="C26" s="62">
        <f>NOVEMBRO!C360</f>
        <v>0</v>
      </c>
      <c r="D26" s="414" t="str">
        <f t="shared" si="1"/>
        <v>0,00%</v>
      </c>
      <c r="E26" s="617" t="e">
        <f>#REF!</f>
        <v>#REF!</v>
      </c>
      <c r="F26" s="31"/>
      <c r="I26" s="246"/>
    </row>
    <row r="27" spans="1:10" ht="27" thickBot="1" x14ac:dyDescent="0.45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4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25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2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25">
      <c r="B30" s="419" t="str">
        <f>Fluxo_de_Caixa_Janeiro[[#This Row],[Fluxo de Caixa 2026 CTR]]</f>
        <v>1.1.01. Receita em Cartão (Crédito e Débito)</v>
      </c>
      <c r="C30" s="64">
        <f t="shared" ref="C30:C36" si="3">H30+I30+J30</f>
        <v>0</v>
      </c>
      <c r="D30" s="420" t="str">
        <f t="shared" si="2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25">
      <c r="B31" s="419" t="str">
        <f>Fluxo_de_Caixa_Janeiro[[#This Row],[Fluxo de Caixa 2026 CTR]]</f>
        <v>1.1.01. Receita de Cheque A Vista</v>
      </c>
      <c r="C31" s="64">
        <f t="shared" si="3"/>
        <v>0</v>
      </c>
      <c r="D31" s="420" t="str">
        <f t="shared" si="2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25">
      <c r="B32" s="419" t="str">
        <f>Fluxo_de_Caixa_Janeiro[[#This Row],[Fluxo de Caixa 2026 CTR]]</f>
        <v xml:space="preserve">1.1.01. Receita de Cheque Pré </v>
      </c>
      <c r="C32" s="64">
        <f t="shared" si="3"/>
        <v>0</v>
      </c>
      <c r="D32" s="420" t="str">
        <f t="shared" si="2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25">
      <c r="B33" s="419" t="str">
        <f>Fluxo_de_Caixa_Janeiro[[#This Row],[Fluxo de Caixa 2026 CTR]]</f>
        <v>1.1.01. Recebimento de Carteira (Notinha)</v>
      </c>
      <c r="C33" s="64">
        <f t="shared" si="3"/>
        <v>0</v>
      </c>
      <c r="D33" s="420" t="str">
        <f t="shared" si="2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25">
      <c r="B34" s="419" t="str">
        <f>Fluxo_de_Caixa_Janeiro[[#This Row],[Fluxo de Caixa 2026 CTR]]</f>
        <v>1.1.01. Recebimento de Boletos</v>
      </c>
      <c r="C34" s="64">
        <f t="shared" si="3"/>
        <v>0</v>
      </c>
      <c r="D34" s="420" t="str">
        <f t="shared" si="2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25">
      <c r="B35" s="419" t="str">
        <f>Fluxo_de_Caixa_Janeiro[[#This Row],[Fluxo de Caixa 2026 CTR]]</f>
        <v>1.1.01. Recebimento em Depósito e Dep. PIX</v>
      </c>
      <c r="C35" s="64">
        <f t="shared" si="3"/>
        <v>0</v>
      </c>
      <c r="D35" s="420" t="str">
        <f t="shared" si="2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.75" thickBot="1" x14ac:dyDescent="0.3">
      <c r="B36" s="421" t="str">
        <f>Fluxo_de_Caixa_Janeiro[[#This Row],[Fluxo de Caixa 2026 CTR]]</f>
        <v>1.1.02. Recebimento Cheque Devolvido</v>
      </c>
      <c r="C36" s="64">
        <f t="shared" si="3"/>
        <v>0</v>
      </c>
      <c r="D36" s="420" t="str">
        <f t="shared" si="2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G36">
        <f>61478.38+157477.95</f>
        <v>218956.33000000002</v>
      </c>
      <c r="I36" s="246"/>
      <c r="J36" s="246"/>
    </row>
    <row r="37" spans="1:10" ht="15.75" hidden="1" thickBot="1" x14ac:dyDescent="0.3">
      <c r="B37" s="421">
        <f>Fluxo_de_Caixa_Janeiro[[#This Row],[Fluxo de Caixa 2026 CTR]]</f>
        <v>0</v>
      </c>
      <c r="C37" s="62"/>
      <c r="D37" s="420" t="str">
        <f t="shared" si="2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t="15.75" hidden="1" thickBot="1" x14ac:dyDescent="0.3">
      <c r="B38" s="421">
        <f>Fluxo_de_Caixa_Janeiro[[#This Row],[Fluxo de Caixa 2026 CTR]]</f>
        <v>0</v>
      </c>
      <c r="C38" s="62"/>
      <c r="D38" s="420" t="str">
        <f t="shared" si="2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t="15.75" hidden="1" thickBot="1" x14ac:dyDescent="0.3">
      <c r="B39" s="421">
        <f>Fluxo_de_Caixa_Janeiro[[#This Row],[Fluxo de Caixa 2026 CTR]]</f>
        <v>0</v>
      </c>
      <c r="C39" s="62"/>
      <c r="D39" s="420" t="str">
        <f t="shared" si="2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t="15.75" hidden="1" thickBot="1" x14ac:dyDescent="0.3">
      <c r="B40" s="421">
        <f>Fluxo_de_Caixa_Janeiro[[#This Row],[Fluxo de Caixa 2026 CTR]]</f>
        <v>0</v>
      </c>
      <c r="C40" s="62"/>
      <c r="D40" s="420" t="str">
        <f t="shared" si="2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t="15.75" hidden="1" thickBot="1" x14ac:dyDescent="0.3">
      <c r="B41" s="421">
        <f>Fluxo_de_Caixa_Janeiro[[#This Row],[Fluxo de Caixa 2026 CTR]]</f>
        <v>0</v>
      </c>
      <c r="C41" s="62"/>
      <c r="D41" s="420" t="str">
        <f t="shared" si="2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t="15.75" hidden="1" thickBot="1" x14ac:dyDescent="0.3">
      <c r="B42" s="421">
        <f>Fluxo_de_Caixa_Janeiro[[#This Row],[Fluxo de Caixa 2026 CTR]]</f>
        <v>0</v>
      </c>
      <c r="C42" s="62"/>
      <c r="D42" s="420" t="str">
        <f t="shared" si="2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t="15.75" hidden="1" thickBot="1" x14ac:dyDescent="0.3">
      <c r="B43" s="421">
        <f>Fluxo_de_Caixa_Janeiro[[#This Row],[Fluxo de Caixa 2026 CTR]]</f>
        <v>0</v>
      </c>
      <c r="C43" s="62"/>
      <c r="D43" s="420" t="str">
        <f t="shared" si="2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t="15.75" hidden="1" thickBot="1" x14ac:dyDescent="0.3">
      <c r="B44" s="421">
        <f>Fluxo_de_Caixa_Janeiro[[#This Row],[Fluxo de Caixa 2026 CTR]]</f>
        <v>0</v>
      </c>
      <c r="C44" s="62"/>
      <c r="D44" s="420" t="str">
        <f t="shared" si="2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t="15.75" hidden="1" thickBot="1" x14ac:dyDescent="0.3">
      <c r="B45" s="421">
        <f>Fluxo_de_Caixa_Janeiro[[#This Row],[Fluxo de Caixa 2026 CTR]]</f>
        <v>0</v>
      </c>
      <c r="C45" s="62"/>
      <c r="D45" s="420" t="str">
        <f t="shared" si="2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t="15.75" hidden="1" thickBot="1" x14ac:dyDescent="0.3">
      <c r="B46" s="421">
        <f>Fluxo_de_Caixa_Janeiro[[#This Row],[Fluxo de Caixa 2026 CTR]]</f>
        <v>0</v>
      </c>
      <c r="C46" s="62">
        <v>0</v>
      </c>
      <c r="D46" s="420" t="str">
        <f t="shared" si="2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.75" hidden="1" thickBot="1" x14ac:dyDescent="0.3">
      <c r="B47" s="421">
        <f>Fluxo_de_Caixa_Janeiro[[#This Row],[Fluxo de Caixa 2026 CTR]]</f>
        <v>0</v>
      </c>
      <c r="C47" s="62"/>
      <c r="D47" s="420" t="str">
        <f t="shared" si="2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4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25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.75" thickBot="1" x14ac:dyDescent="0.3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.75" hidden="1" thickBot="1" x14ac:dyDescent="0.3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4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25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25">
      <c r="B54" s="425" t="str">
        <f>Fluxo_de_Caixa_Janeiro[[#This Row],[Fluxo de Caixa 2026 CTR]]</f>
        <v>2.1.02.ADIANT. FORNEC. MERCA. REVENDA</v>
      </c>
      <c r="C54" s="62">
        <f t="shared" ref="C54:C57" si="4">H54+I54+J54</f>
        <v>0</v>
      </c>
      <c r="D54" s="426" t="str">
        <f t="shared" ref="D54:D59" si="5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25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5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25">
      <c r="B56" s="425" t="str">
        <f>Fluxo_de_Caixa_Janeiro[[#This Row],[Fluxo de Caixa 2026 CTR]]</f>
        <v>2.1.04.OUTROS CUSTOS DE MERC.REVENDA</v>
      </c>
      <c r="C56" s="62">
        <f t="shared" si="4"/>
        <v>0</v>
      </c>
      <c r="D56" s="426" t="str">
        <f t="shared" si="5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.75" thickBot="1" x14ac:dyDescent="0.3">
      <c r="B57" s="425" t="str">
        <f>Fluxo_de_Caixa_Janeiro[[#This Row],[Fluxo de Caixa 2026 CTR]]</f>
        <v>2.1.05.TRANSFE DE MERCAD REVENDA MATRIZ</v>
      </c>
      <c r="C57" s="62">
        <f t="shared" si="4"/>
        <v>0</v>
      </c>
      <c r="D57" s="426" t="str">
        <f t="shared" si="5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t="15.75" hidden="1" thickBot="1" x14ac:dyDescent="0.3">
      <c r="B58" s="425">
        <f>Fluxo_de_Caixa_Janeiro[[#This Row],[Fluxo de Caixa 2026 CTR]]</f>
        <v>0</v>
      </c>
      <c r="C58" s="62"/>
      <c r="D58" s="426" t="str">
        <f t="shared" si="5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.75" hidden="1" thickBot="1" x14ac:dyDescent="0.3">
      <c r="B59" s="425">
        <f>Fluxo_de_Caixa_Janeiro[[#This Row],[Fluxo de Caixa 2026 CTR]]</f>
        <v>0</v>
      </c>
      <c r="C59" s="62"/>
      <c r="D59" s="426" t="str">
        <f t="shared" si="5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4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25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6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25">
      <c r="B62" s="425" t="str">
        <f>Fluxo_de_Caixa_Janeiro[[#This Row],[Fluxo de Caixa 2026 CTR]]</f>
        <v>2.2.02.BOLETOS DESCONTADOS DEVOLVIDOS</v>
      </c>
      <c r="C62" s="62">
        <f t="shared" ref="C62:C69" si="7">H62+I62+J62</f>
        <v>0</v>
      </c>
      <c r="D62" s="426" t="str">
        <f t="shared" si="6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25">
      <c r="B63" s="425" t="str">
        <f>Fluxo_de_Caixa_Janeiro[[#This Row],[Fluxo de Caixa 2026 CTR]]</f>
        <v>2.2.03.CHEQUES DEVOLVIDOS</v>
      </c>
      <c r="C63" s="62">
        <f t="shared" si="7"/>
        <v>0</v>
      </c>
      <c r="D63" s="426" t="str">
        <f t="shared" si="6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25">
      <c r="B64" s="425" t="str">
        <f>Fluxo_de_Caixa_Janeiro[[#This Row],[Fluxo de Caixa 2026 CTR]]</f>
        <v>2.2.04.BOLETOS DESCONTADOS DEVOLVIDOS</v>
      </c>
      <c r="C64" s="62">
        <f t="shared" si="7"/>
        <v>0</v>
      </c>
      <c r="D64" s="426" t="str">
        <f t="shared" si="6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.75" thickBot="1" x14ac:dyDescent="0.3">
      <c r="B65" s="425" t="str">
        <f>Fluxo_de_Caixa_Janeiro[[#This Row],[Fluxo de Caixa 2026 CTR]]</f>
        <v>2.2.05.PERDA,  ROUBO  E  DETERIORAÇÃO</v>
      </c>
      <c r="C65" s="62">
        <f t="shared" si="7"/>
        <v>0</v>
      </c>
      <c r="D65" s="426" t="str">
        <f t="shared" si="6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t="15.75" hidden="1" thickBot="1" x14ac:dyDescent="0.3">
      <c r="B66" s="425">
        <f>Fluxo_de_Caixa_Janeiro[[#This Row],[Fluxo de Caixa 2026 CTR]]</f>
        <v>0</v>
      </c>
      <c r="C66" s="62">
        <f t="shared" si="7"/>
        <v>0</v>
      </c>
      <c r="D66" s="426" t="str">
        <f t="shared" si="6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t="15.75" hidden="1" thickBot="1" x14ac:dyDescent="0.3">
      <c r="B67" s="425">
        <f>Fluxo_de_Caixa_Janeiro[[#This Row],[Fluxo de Caixa 2026 CTR]]</f>
        <v>0</v>
      </c>
      <c r="C67" s="62">
        <f t="shared" si="7"/>
        <v>0</v>
      </c>
      <c r="D67" s="426" t="str">
        <f t="shared" si="6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t="15.75" hidden="1" thickBot="1" x14ac:dyDescent="0.3">
      <c r="B68" s="425">
        <f>Fluxo_de_Caixa_Janeiro[[#This Row],[Fluxo de Caixa 2026 CTR]]</f>
        <v>0</v>
      </c>
      <c r="C68" s="62">
        <f t="shared" si="7"/>
        <v>0</v>
      </c>
      <c r="D68" s="426" t="str">
        <f t="shared" si="6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.75" hidden="1" thickBot="1" x14ac:dyDescent="0.3">
      <c r="B69" s="425">
        <f>Fluxo_de_Caixa_Janeiro[[#This Row],[Fluxo de Caixa 2026 CTR]]</f>
        <v>0</v>
      </c>
      <c r="C69" s="62">
        <f t="shared" si="7"/>
        <v>0</v>
      </c>
      <c r="D69" s="426" t="str">
        <f t="shared" si="6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4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25">
      <c r="B71" s="428">
        <f>Fluxo_de_Caixa_Janeiro[[#This Row],[Fluxo de Caixa 2026 CTR]]</f>
        <v>0</v>
      </c>
      <c r="C71" s="62"/>
      <c r="D71" s="426" t="str">
        <f t="shared" ref="D71:D84" si="8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25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8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25">
      <c r="B73" s="428" t="str">
        <f>Fluxo_de_Caixa_Janeiro[[#This Row],[Fluxo de Caixa 2026 CTR]]</f>
        <v xml:space="preserve">2.3.03.CSSL (SE ESTIVER NO CMV) </v>
      </c>
      <c r="C73" s="62">
        <f t="shared" ref="C73:C82" si="9">H73+I73+J73</f>
        <v>0</v>
      </c>
      <c r="D73" s="426" t="str">
        <f t="shared" si="8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25">
      <c r="B74" s="428" t="str">
        <f>Fluxo_de_Caixa_Janeiro[[#This Row],[Fluxo de Caixa 2026 CTR]]</f>
        <v>2.3.04.COFINS (SE ESTIVER NO CMV)</v>
      </c>
      <c r="C74" s="62">
        <f t="shared" si="9"/>
        <v>0</v>
      </c>
      <c r="D74" s="426" t="str">
        <f t="shared" si="8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25">
      <c r="B75" s="428" t="str">
        <f>Fluxo_de_Caixa_Janeiro[[#This Row],[Fluxo de Caixa 2026 CTR]]</f>
        <v>2.3.05.PIS (SE ESTIVER NO CMV)</v>
      </c>
      <c r="C75" s="62">
        <f t="shared" si="9"/>
        <v>0</v>
      </c>
      <c r="D75" s="426" t="str">
        <f t="shared" si="8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25">
      <c r="B76" s="428" t="str">
        <f>Fluxo_de_Caixa_Janeiro[[#This Row],[Fluxo de Caixa 2026 CTR]]</f>
        <v>2.3.06.ICMS – Normal (SE ESTIVER NO CMV)</v>
      </c>
      <c r="C76" s="62">
        <f t="shared" si="9"/>
        <v>0</v>
      </c>
      <c r="D76" s="426" t="str">
        <f t="shared" si="8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25">
      <c r="B77" s="428" t="str">
        <f>Fluxo_de_Caixa_Janeiro[[#This Row],[Fluxo de Caixa 2026 CTR]]</f>
        <v>2.3.07. SUBSTITUIÇÃO TRIBUTARIA SAÍDA (TARE)</v>
      </c>
      <c r="C77" s="62">
        <f t="shared" si="9"/>
        <v>0</v>
      </c>
      <c r="D77" s="426" t="str">
        <f t="shared" si="8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25">
      <c r="B78" s="428" t="str">
        <f>Fluxo_de_Caixa_Janeiro[[#This Row],[Fluxo de Caixa 2026 CTR]]</f>
        <v>2.3.08.SUBSTITUIÇÃO TRIBUTÁRIA NA ENTRADA</v>
      </c>
      <c r="C78" s="62">
        <f t="shared" si="9"/>
        <v>0</v>
      </c>
      <c r="D78" s="426" t="str">
        <f t="shared" si="8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25">
      <c r="B79" s="428" t="str">
        <f>Fluxo_de_Caixa_Janeiro[[#This Row],[Fluxo de Caixa 2026 CTR]]</f>
        <v>2.3.09.FUNDO DESENVOLVIMENTO ECONOMICO (TARE)</v>
      </c>
      <c r="C79" s="62">
        <f t="shared" si="9"/>
        <v>0</v>
      </c>
      <c r="D79" s="426" t="str">
        <f t="shared" si="8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25">
      <c r="B80" s="428">
        <f>Fluxo_de_Caixa_Janeiro[[#This Row],[Fluxo de Caixa 2026 CTR]]</f>
        <v>0</v>
      </c>
      <c r="C80" s="62">
        <f t="shared" si="9"/>
        <v>0</v>
      </c>
      <c r="D80" s="426" t="str">
        <f t="shared" si="8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25">
      <c r="B81" s="428">
        <f>Fluxo_de_Caixa_Janeiro[[#This Row],[Fluxo de Caixa 2026 CTR]]</f>
        <v>0</v>
      </c>
      <c r="C81" s="62">
        <f t="shared" si="9"/>
        <v>0</v>
      </c>
      <c r="D81" s="426" t="str">
        <f t="shared" si="8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.75" thickBot="1" x14ac:dyDescent="0.3">
      <c r="B82" s="428" t="str">
        <f>Fluxo_de_Caixa_Janeiro[[#This Row],[Fluxo de Caixa 2026 CTR]]</f>
        <v xml:space="preserve">2.3.11. Impostos Parcelado </v>
      </c>
      <c r="C82" s="62">
        <f t="shared" si="9"/>
        <v>0</v>
      </c>
      <c r="D82" s="426" t="str">
        <f t="shared" si="8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t="15.75" hidden="1" thickBot="1" x14ac:dyDescent="0.3">
      <c r="B83" s="428">
        <f>Fluxo_de_Caixa_Janeiro[[#This Row],[Fluxo de Caixa 2026 CTR]]</f>
        <v>0</v>
      </c>
      <c r="C83" s="62"/>
      <c r="D83" s="426" t="str">
        <f t="shared" si="8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.75" hidden="1" thickBot="1" x14ac:dyDescent="0.3">
      <c r="B84" s="428">
        <f>Fluxo_de_Caixa_Janeiro[[#This Row],[Fluxo de Caixa 2026 CTR]]</f>
        <v>0</v>
      </c>
      <c r="C84" s="62"/>
      <c r="D84" s="426" t="str">
        <f t="shared" si="8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4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4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4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.75" x14ac:dyDescent="0.3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25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25">
      <c r="B90" s="437" t="str">
        <f>Fluxo_de_Caixa_Janeiro[[#This Row],[Fluxo de Caixa 2026 CTR]]</f>
        <v>3.1.02. Promoções e Eventos(Brindes/Café da Manhã p clientes/etc)</v>
      </c>
      <c r="C90" s="62">
        <f t="shared" ref="C90:C99" si="10">H90+I90+J90</f>
        <v>0</v>
      </c>
      <c r="D90" s="438" t="str">
        <f t="shared" ref="D90:D99" si="11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25">
      <c r="B91" s="437" t="str">
        <f>Fluxo_de_Caixa_Janeiro[[#This Row],[Fluxo de Caixa 2026 CTR]]</f>
        <v>3.1.03. Sacolas e Embalagens</v>
      </c>
      <c r="C91" s="62">
        <f t="shared" si="10"/>
        <v>0</v>
      </c>
      <c r="D91" s="438" t="str">
        <f t="shared" si="11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25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 t="str">
        <f t="shared" si="11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25">
      <c r="B93" s="437" t="str">
        <f>Fluxo_de_Caixa_Janeiro[[#This Row],[Fluxo de Caixa 2026 CTR]]</f>
        <v>3.1.05. Comissão Representente Comercial</v>
      </c>
      <c r="C93" s="62">
        <f t="shared" si="10"/>
        <v>0</v>
      </c>
      <c r="D93" s="438" t="str">
        <f t="shared" si="11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25">
      <c r="B94" s="437" t="str">
        <f>Fluxo_de_Caixa_Janeiro[[#This Row],[Fluxo de Caixa 2026 CTR]]</f>
        <v>3.1.06. Frete com entrega de vendas</v>
      </c>
      <c r="C94" s="62">
        <f t="shared" si="10"/>
        <v>0</v>
      </c>
      <c r="D94" s="438" t="str">
        <f t="shared" si="11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25">
      <c r="B95" s="437" t="str">
        <f>Fluxo_de_Caixa_Janeiro[[#This Row],[Fluxo de Caixa 2026 CTR]]</f>
        <v>3.1.07. TAXAS C/ CART CRÉD/DÉBIT</v>
      </c>
      <c r="C95" s="62">
        <f t="shared" si="10"/>
        <v>0</v>
      </c>
      <c r="D95" s="438" t="str">
        <f t="shared" si="11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25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 t="str">
        <f t="shared" si="11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25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 t="str">
        <f t="shared" si="11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25">
      <c r="B98" s="437" t="str">
        <f>Fluxo_de_Caixa_Janeiro[[#This Row],[Fluxo de Caixa 2026 CTR]]</f>
        <v>3.1.10. TARIFA PIX RECEBIDO</v>
      </c>
      <c r="C98" s="62">
        <f t="shared" si="10"/>
        <v>0</v>
      </c>
      <c r="D98" s="438" t="str">
        <f t="shared" si="11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25">
      <c r="B99" s="437">
        <f>Fluxo_de_Caixa_Janeiro[[#This Row],[Fluxo de Caixa 2026 CTR]]</f>
        <v>0</v>
      </c>
      <c r="C99" s="62">
        <f t="shared" si="10"/>
        <v>0</v>
      </c>
      <c r="D99" s="438" t="str">
        <f t="shared" si="11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.75" x14ac:dyDescent="0.3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25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2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25">
      <c r="B102" s="437" t="str">
        <f>Fluxo_de_Caixa_Janeiro[[#This Row],[Fluxo de Caixa 2026 CTR]]</f>
        <v>3.2.02. Adiantamento Salários/Vales</v>
      </c>
      <c r="C102" s="62">
        <f t="shared" ref="C102:C123" si="13">H102+I102+J102</f>
        <v>0</v>
      </c>
      <c r="D102" s="438" t="str">
        <f t="shared" si="12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25">
      <c r="B103" s="437" t="str">
        <f>Fluxo_de_Caixa_Janeiro[[#This Row],[Fluxo de Caixa 2026 CTR]]</f>
        <v xml:space="preserve">3.2.03. Auxilio Alimentação/Refeição </v>
      </c>
      <c r="C103" s="62">
        <f t="shared" si="13"/>
        <v>0</v>
      </c>
      <c r="D103" s="438" t="str">
        <f t="shared" si="12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25">
      <c r="B104" s="437" t="str">
        <f>Fluxo_de_Caixa_Janeiro[[#This Row],[Fluxo de Caixa 2026 CTR]]</f>
        <v>3.2.04. Auxilio Combustível</v>
      </c>
      <c r="C104" s="62">
        <f t="shared" si="13"/>
        <v>0</v>
      </c>
      <c r="D104" s="438" t="str">
        <f t="shared" si="12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25">
      <c r="B105" s="437" t="str">
        <f>Fluxo_de_Caixa_Janeiro[[#This Row],[Fluxo de Caixa 2026 CTR]]</f>
        <v>3.2.05. Seguro de Vida Funcionarios</v>
      </c>
      <c r="C105" s="62">
        <f t="shared" si="13"/>
        <v>0</v>
      </c>
      <c r="D105" s="438" t="str">
        <f t="shared" si="12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25">
      <c r="B106" s="437" t="str">
        <f>Fluxo_de_Caixa_Janeiro[[#This Row],[Fluxo de Caixa 2026 CTR]]</f>
        <v>3.2.06. Confraternização e premiação</v>
      </c>
      <c r="C106" s="62">
        <f t="shared" si="13"/>
        <v>0</v>
      </c>
      <c r="D106" s="438" t="str">
        <f t="shared" si="12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25">
      <c r="B107" s="437" t="str">
        <f>Fluxo_de_Caixa_Janeiro[[#This Row],[Fluxo de Caixa 2026 CTR]]</f>
        <v>3.2.07. Viagens e Estadias Funcionarios</v>
      </c>
      <c r="C107" s="62">
        <f t="shared" si="13"/>
        <v>0</v>
      </c>
      <c r="D107" s="438" t="str">
        <f t="shared" si="12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25">
      <c r="B108" s="437" t="str">
        <f>Fluxo_de_Caixa_Janeiro[[#This Row],[Fluxo de Caixa 2026 CTR]]</f>
        <v>3.2.08. Treinamento e Cursos</v>
      </c>
      <c r="C108" s="62">
        <f t="shared" si="13"/>
        <v>0</v>
      </c>
      <c r="D108" s="438" t="str">
        <f t="shared" si="12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25">
      <c r="B109" s="437" t="str">
        <f>Fluxo_de_Caixa_Janeiro[[#This Row],[Fluxo de Caixa 2026 CTR]]</f>
        <v>3.2.09. Ajuda de Custo Faculdade/Pós Graduação</v>
      </c>
      <c r="C109" s="62">
        <f t="shared" si="13"/>
        <v>0</v>
      </c>
      <c r="D109" s="438" t="str">
        <f t="shared" si="12"/>
        <v>0,00%</v>
      </c>
      <c r="E109" s="317">
        <v>1.00036758032117</v>
      </c>
      <c r="F109"/>
      <c r="I109" s="246"/>
      <c r="J109" s="246"/>
    </row>
    <row r="110" spans="1:10" x14ac:dyDescent="0.25">
      <c r="B110" s="437" t="str">
        <f>Fluxo_de_Caixa_Janeiro[[#This Row],[Fluxo de Caixa 2026 CTR]]</f>
        <v>3.2.10. Férias</v>
      </c>
      <c r="C110" s="62">
        <f t="shared" si="13"/>
        <v>0</v>
      </c>
      <c r="D110" s="438" t="str">
        <f t="shared" si="12"/>
        <v>0,00%</v>
      </c>
      <c r="E110" s="317">
        <v>1.00036758032117</v>
      </c>
      <c r="F110"/>
      <c r="I110" s="246"/>
      <c r="J110" s="246"/>
    </row>
    <row r="111" spans="1:10" x14ac:dyDescent="0.25">
      <c r="B111" s="437" t="str">
        <f>Fluxo_de_Caixa_Janeiro[[#This Row],[Fluxo de Caixa 2026 CTR]]</f>
        <v>3.2.11. Auxilio Saúde e Odontológico</v>
      </c>
      <c r="C111" s="62">
        <f t="shared" si="13"/>
        <v>0</v>
      </c>
      <c r="D111" s="438" t="str">
        <f t="shared" si="12"/>
        <v>0,00%</v>
      </c>
      <c r="E111" s="317">
        <v>2.00036758032117</v>
      </c>
      <c r="F111"/>
      <c r="I111" s="246"/>
      <c r="J111" s="246"/>
    </row>
    <row r="112" spans="1:10" x14ac:dyDescent="0.25">
      <c r="B112" s="437" t="str">
        <f>Fluxo_de_Caixa_Janeiro[[#This Row],[Fluxo de Caixa 2026 CTR]]</f>
        <v>3.2.12. Vale Transporte</v>
      </c>
      <c r="C112" s="62">
        <f t="shared" si="13"/>
        <v>0</v>
      </c>
      <c r="D112" s="438" t="str">
        <f t="shared" si="12"/>
        <v>0,00%</v>
      </c>
      <c r="E112" s="317">
        <v>3.00036758032117</v>
      </c>
      <c r="F112"/>
      <c r="I112" s="246"/>
      <c r="J112" s="246"/>
    </row>
    <row r="113" spans="2:10" x14ac:dyDescent="0.25">
      <c r="B113" s="437" t="str">
        <f>Fluxo_de_Caixa_Janeiro[[#This Row],[Fluxo de Caixa 2026 CTR]]</f>
        <v>3.2.13. FGTS</v>
      </c>
      <c r="C113" s="62">
        <f t="shared" si="13"/>
        <v>0</v>
      </c>
      <c r="D113" s="438" t="str">
        <f t="shared" si="12"/>
        <v>0,00%</v>
      </c>
      <c r="E113" s="317">
        <v>4.0003675803211696</v>
      </c>
      <c r="F113"/>
      <c r="I113" s="246"/>
      <c r="J113" s="246"/>
    </row>
    <row r="114" spans="2:10" x14ac:dyDescent="0.25">
      <c r="B114" s="437" t="str">
        <f>Fluxo_de_Caixa_Janeiro[[#This Row],[Fluxo de Caixa 2026 CTR]]</f>
        <v xml:space="preserve">3.2.14. INSS/GPS </v>
      </c>
      <c r="C114" s="62">
        <f t="shared" si="13"/>
        <v>0</v>
      </c>
      <c r="D114" s="438" t="str">
        <f t="shared" si="12"/>
        <v>0,00%</v>
      </c>
      <c r="E114" s="317">
        <v>5.0003675803211696</v>
      </c>
      <c r="F114"/>
      <c r="H114" s="284"/>
      <c r="I114" s="284"/>
      <c r="J114" s="284"/>
    </row>
    <row r="115" spans="2:10" x14ac:dyDescent="0.25">
      <c r="B115" s="437" t="str">
        <f>Fluxo_de_Caixa_Janeiro[[#This Row],[Fluxo de Caixa 2026 CTR]]</f>
        <v>3.2.15. Contribuição Sindical</v>
      </c>
      <c r="C115" s="62">
        <f t="shared" si="13"/>
        <v>0</v>
      </c>
      <c r="D115" s="438" t="str">
        <f t="shared" si="12"/>
        <v>0,00%</v>
      </c>
      <c r="E115" s="317">
        <v>6.0003675803211696</v>
      </c>
      <c r="F115"/>
      <c r="I115" s="246"/>
      <c r="J115" s="246"/>
    </row>
    <row r="116" spans="2:10" x14ac:dyDescent="0.25">
      <c r="B116" s="437" t="str">
        <f>Fluxo_de_Caixa_Janeiro[[#This Row],[Fluxo de Caixa 2026 CTR]]</f>
        <v xml:space="preserve">3.2.16. Rescisão Trabalhista </v>
      </c>
      <c r="C116" s="62">
        <f t="shared" si="13"/>
        <v>0</v>
      </c>
      <c r="D116" s="438" t="str">
        <f t="shared" si="12"/>
        <v>0,00%</v>
      </c>
      <c r="E116" s="317">
        <v>7.0003675803211696</v>
      </c>
      <c r="F116"/>
      <c r="I116" s="246"/>
      <c r="J116" s="246"/>
    </row>
    <row r="117" spans="2:10" x14ac:dyDescent="0.25">
      <c r="B117" s="437" t="str">
        <f>Fluxo_de_Caixa_Janeiro[[#This Row],[Fluxo de Caixa 2026 CTR]]</f>
        <v xml:space="preserve">3.2.17. Seleção e Contratação </v>
      </c>
      <c r="C117" s="62">
        <f t="shared" si="13"/>
        <v>0</v>
      </c>
      <c r="D117" s="438" t="str">
        <f t="shared" si="12"/>
        <v>0,00%</v>
      </c>
      <c r="E117" s="317">
        <v>8.0003675803211696</v>
      </c>
      <c r="F117"/>
      <c r="I117" s="246"/>
      <c r="J117" s="246"/>
    </row>
    <row r="118" spans="2:10" x14ac:dyDescent="0.25">
      <c r="B118" s="437" t="str">
        <f>Fluxo_de_Caixa_Janeiro[[#This Row],[Fluxo de Caixa 2026 CTR]]</f>
        <v>3.2.18. ASO</v>
      </c>
      <c r="C118" s="62">
        <f t="shared" si="13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25">
      <c r="B119" s="437" t="str">
        <f>Fluxo_de_Caixa_Janeiro[[#This Row],[Fluxo de Caixa 2026 CTR]]</f>
        <v>3.2.19. IRRF S/ Salário</v>
      </c>
      <c r="C119" s="62">
        <f t="shared" si="13"/>
        <v>0</v>
      </c>
      <c r="D119" s="438" t="str">
        <f t="shared" si="12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25">
      <c r="B120" s="437" t="str">
        <f>Fluxo_de_Caixa_Janeiro[[#This Row],[Fluxo de Caixa 2026 CTR]]</f>
        <v>3.2.20. Despesa com Terceirizado</v>
      </c>
      <c r="C120" s="62">
        <f t="shared" si="13"/>
        <v>0</v>
      </c>
      <c r="D120" s="438" t="str">
        <f t="shared" si="12"/>
        <v>0,00%</v>
      </c>
      <c r="E120" s="317" t="e">
        <f>#REF!</f>
        <v>#REF!</v>
      </c>
      <c r="F120"/>
      <c r="I120" s="246"/>
      <c r="J120" s="246"/>
    </row>
    <row r="121" spans="2:10" x14ac:dyDescent="0.25">
      <c r="B121" s="437" t="str">
        <f>Fluxo_de_Caixa_Janeiro[[#This Row],[Fluxo de Caixa 2026 CTR]]</f>
        <v>3.2.21. Uniformes e EPI</v>
      </c>
      <c r="C121" s="62">
        <f t="shared" si="13"/>
        <v>0</v>
      </c>
      <c r="D121" s="438" t="str">
        <f t="shared" si="12"/>
        <v>0,00%</v>
      </c>
      <c r="E121" s="317" t="e">
        <f>#REF!</f>
        <v>#REF!</v>
      </c>
      <c r="F121"/>
      <c r="I121" s="246"/>
      <c r="J121" s="246"/>
    </row>
    <row r="122" spans="2:10" x14ac:dyDescent="0.25">
      <c r="B122" s="437" t="str">
        <f>Fluxo_de_Caixa_Janeiro[[#This Row],[Fluxo de Caixa 2026 CTR]]</f>
        <v>3.2.22. Adiantamento de 13º Salário</v>
      </c>
      <c r="C122" s="62">
        <f t="shared" si="13"/>
        <v>0</v>
      </c>
      <c r="D122" s="438" t="str">
        <f t="shared" si="12"/>
        <v>0,00%</v>
      </c>
      <c r="E122" s="317" t="e">
        <f>#REF!</f>
        <v>#REF!</v>
      </c>
      <c r="F122"/>
      <c r="I122" s="246"/>
      <c r="J122" s="246"/>
    </row>
    <row r="123" spans="2:10" x14ac:dyDescent="0.25">
      <c r="B123" s="437" t="str">
        <f>Fluxo_de_Caixa_Janeiro[[#This Row],[Fluxo de Caixa 2026 CTR]]</f>
        <v>3.2.23. Decimo Terceiro Integral</v>
      </c>
      <c r="C123" s="62">
        <f t="shared" si="13"/>
        <v>0</v>
      </c>
      <c r="D123" s="438" t="str">
        <f t="shared" si="12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25">
      <c r="B124" s="437">
        <f>Fluxo_de_Caixa_Janeiro[[#This Row],[Fluxo de Caixa 2026 CTR]]</f>
        <v>0</v>
      </c>
      <c r="C124" s="62">
        <v>0</v>
      </c>
      <c r="D124" s="438" t="str">
        <f t="shared" si="12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25">
      <c r="B125" s="437">
        <f>Fluxo_de_Caixa_Janeiro[[#This Row],[Fluxo de Caixa 2026 CTR]]</f>
        <v>0</v>
      </c>
      <c r="C125" s="62"/>
      <c r="D125" s="438" t="str">
        <f t="shared" si="12"/>
        <v>0,00%</v>
      </c>
      <c r="E125" s="317" t="e">
        <f>#REF!</f>
        <v>#REF!</v>
      </c>
      <c r="F125"/>
      <c r="I125" s="246"/>
      <c r="J125" s="246"/>
    </row>
    <row r="126" spans="2:10" hidden="1" x14ac:dyDescent="0.25">
      <c r="B126" s="437">
        <f>Fluxo_de_Caixa_Janeiro[[#This Row],[Fluxo de Caixa 2026 CTR]]</f>
        <v>0</v>
      </c>
      <c r="C126" s="62"/>
      <c r="D126" s="438" t="str">
        <f t="shared" si="12"/>
        <v>0,00%</v>
      </c>
      <c r="E126" s="317" t="e">
        <f>#REF!</f>
        <v>#REF!</v>
      </c>
      <c r="F126"/>
      <c r="I126" s="246"/>
      <c r="J126" s="246"/>
    </row>
    <row r="127" spans="2:10" hidden="1" x14ac:dyDescent="0.25">
      <c r="B127" s="437">
        <f>Fluxo_de_Caixa_Janeiro[[#This Row],[Fluxo de Caixa 2026 CTR]]</f>
        <v>0</v>
      </c>
      <c r="C127" s="62"/>
      <c r="D127" s="438" t="str">
        <f t="shared" si="12"/>
        <v>0,00%</v>
      </c>
      <c r="E127" s="317" t="e">
        <f>#REF!</f>
        <v>#REF!</v>
      </c>
      <c r="F127"/>
      <c r="I127" s="246"/>
      <c r="J127" s="246"/>
    </row>
    <row r="128" spans="2:10" hidden="1" x14ac:dyDescent="0.25">
      <c r="B128" s="437">
        <f>Fluxo_de_Caixa_Janeiro[[#This Row],[Fluxo de Caixa 2026 CTR]]</f>
        <v>0</v>
      </c>
      <c r="C128" s="62"/>
      <c r="D128" s="438" t="str">
        <f t="shared" si="12"/>
        <v>0,00%</v>
      </c>
      <c r="E128" s="317" t="e">
        <f>#REF!</f>
        <v>#REF!</v>
      </c>
      <c r="F128"/>
      <c r="I128" s="246"/>
      <c r="J128" s="246"/>
    </row>
    <row r="129" spans="1:10" hidden="1" x14ac:dyDescent="0.25">
      <c r="B129" s="437">
        <f>Fluxo_de_Caixa_Janeiro[[#This Row],[Fluxo de Caixa 2026 CTR]]</f>
        <v>0</v>
      </c>
      <c r="C129" s="62"/>
      <c r="D129" s="438" t="str">
        <f t="shared" si="12"/>
        <v>0,00%</v>
      </c>
      <c r="E129" s="317" t="e">
        <f>#REF!</f>
        <v>#REF!</v>
      </c>
      <c r="F129"/>
      <c r="I129" s="246"/>
      <c r="J129" s="246"/>
    </row>
    <row r="130" spans="1:10" hidden="1" x14ac:dyDescent="0.25">
      <c r="B130" s="437">
        <f>Fluxo_de_Caixa_Janeiro[[#This Row],[Fluxo de Caixa 2026 CTR]]</f>
        <v>0</v>
      </c>
      <c r="C130" s="62"/>
      <c r="D130" s="438" t="str">
        <f t="shared" si="12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.75" x14ac:dyDescent="0.3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25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4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25">
      <c r="B133" s="437">
        <f>Fluxo_de_Caixa_Janeiro[[#This Row],[Fluxo de Caixa 2026 CTR]]</f>
        <v>0</v>
      </c>
      <c r="C133" s="62">
        <f t="shared" ref="C133:C139" si="15">H133+I133+J133</f>
        <v>0</v>
      </c>
      <c r="D133" s="438" t="str">
        <f t="shared" si="14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25">
      <c r="B134" s="437" t="str">
        <f>Fluxo_de_Caixa_Janeiro[[#This Row],[Fluxo de Caixa 2026 CTR]]</f>
        <v>3.3.03. Consultoria de TI</v>
      </c>
      <c r="C134" s="62">
        <f t="shared" si="15"/>
        <v>0</v>
      </c>
      <c r="D134" s="438" t="str">
        <f t="shared" si="14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25">
      <c r="B135" s="437" t="str">
        <f>Fluxo_de_Caixa_Janeiro[[#This Row],[Fluxo de Caixa 2026 CTR]]</f>
        <v>3.3.04. Mensalidade Programa de Tecnologia Informatica</v>
      </c>
      <c r="C135" s="62">
        <f t="shared" si="15"/>
        <v>0</v>
      </c>
      <c r="D135" s="438" t="str">
        <f t="shared" si="14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25">
      <c r="B136" s="437" t="str">
        <f>Fluxo_de_Caixa_Janeiro[[#This Row],[Fluxo de Caixa 2026 CTR]]</f>
        <v>3.3.05. MANUT E REPAROS EM EQUIPAME. INFORMATI</v>
      </c>
      <c r="C136" s="62">
        <f t="shared" si="15"/>
        <v>0</v>
      </c>
      <c r="D136" s="438" t="str">
        <f t="shared" si="14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25">
      <c r="B137" s="437" t="str">
        <f>Fluxo_de_Caixa_Janeiro[[#This Row],[Fluxo de Caixa 2026 CTR]]</f>
        <v>3.3.06. Manutenção Sitemas e Softwares</v>
      </c>
      <c r="C137" s="62">
        <f t="shared" si="15"/>
        <v>0</v>
      </c>
      <c r="D137" s="438" t="str">
        <f t="shared" si="14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25">
      <c r="B138" s="437" t="str">
        <f>Fluxo_de_Caixa_Janeiro[[#This Row],[Fluxo de Caixa 2026 CTR]]</f>
        <v>3.3.07. Locação Equipamento Informatica</v>
      </c>
      <c r="C138" s="62">
        <f t="shared" si="15"/>
        <v>0</v>
      </c>
      <c r="D138" s="438" t="str">
        <f t="shared" si="14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25">
      <c r="B139" s="437" t="str">
        <f>Fluxo_de_Caixa_Janeiro[[#This Row],[Fluxo de Caixa 2026 CTR]]</f>
        <v>3.3.08. Transmissão de Dados Servidor</v>
      </c>
      <c r="C139" s="62">
        <f t="shared" si="15"/>
        <v>0</v>
      </c>
      <c r="D139" s="438" t="str">
        <f t="shared" si="14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hidden="1" x14ac:dyDescent="0.25">
      <c r="B140" s="437" t="str">
        <f>Fluxo_de_Caixa_Janeiro[[#This Row],[Fluxo de Caixa 2026 CTR]]</f>
        <v>3.3.09. Viagens e Estadias - CPD</v>
      </c>
      <c r="C140" s="62"/>
      <c r="D140" s="438" t="str">
        <f t="shared" si="14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25">
      <c r="B141" s="437">
        <f>Fluxo_de_Caixa_Janeiro[[#This Row],[Fluxo de Caixa 2026 CTR]]</f>
        <v>0</v>
      </c>
      <c r="C141" s="62"/>
      <c r="D141" s="438" t="str">
        <f t="shared" si="14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25">
      <c r="B142" s="437">
        <f>Fluxo_de_Caixa_Janeiro[[#This Row],[Fluxo de Caixa 2026 CTR]]</f>
        <v>0</v>
      </c>
      <c r="C142" s="62"/>
      <c r="D142" s="438" t="str">
        <f t="shared" si="14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25">
      <c r="B143" s="437">
        <f>Fluxo_de_Caixa_Janeiro[[#This Row],[Fluxo de Caixa 2026 CTR]]</f>
        <v>0</v>
      </c>
      <c r="C143" s="62"/>
      <c r="D143" s="438" t="str">
        <f t="shared" si="14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25">
      <c r="B144" s="437">
        <f>Fluxo_de_Caixa_Janeiro[[#This Row],[Fluxo de Caixa 2026 CTR]]</f>
        <v>0</v>
      </c>
      <c r="C144" s="62"/>
      <c r="D144" s="438" t="str">
        <f t="shared" si="14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.75" x14ac:dyDescent="0.3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25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6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25">
      <c r="B147" s="437" t="str">
        <f>Fluxo_de_Caixa_Janeiro[[#This Row],[Fluxo de Caixa 2026 CTR]]</f>
        <v>3.4.02. Material Administrativo de Expediente</v>
      </c>
      <c r="C147" s="62">
        <f t="shared" ref="C147:C165" si="17">H147+I147+J147</f>
        <v>0</v>
      </c>
      <c r="D147" s="438" t="str">
        <f t="shared" si="16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25">
      <c r="B148" s="437" t="str">
        <f>Fluxo_de_Caixa_Janeiro[[#This Row],[Fluxo de Caixa 2026 CTR]]</f>
        <v>3.4.03. Correios/Gollog/Latam Cargas</v>
      </c>
      <c r="C148" s="62">
        <f t="shared" si="17"/>
        <v>0</v>
      </c>
      <c r="D148" s="438" t="str">
        <f t="shared" si="16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25">
      <c r="B149" s="437" t="str">
        <f>Fluxo_de_Caixa_Janeiro[[#This Row],[Fluxo de Caixa 2026 CTR]]</f>
        <v>3.4.04. Cartório</v>
      </c>
      <c r="C149" s="62">
        <f t="shared" si="17"/>
        <v>0</v>
      </c>
      <c r="D149" s="438" t="str">
        <f t="shared" si="16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25">
      <c r="B150" s="437">
        <f>Fluxo_de_Caixa_Janeiro[[#This Row],[Fluxo de Caixa 2026 CTR]]</f>
        <v>0</v>
      </c>
      <c r="C150" s="62">
        <f t="shared" si="17"/>
        <v>0</v>
      </c>
      <c r="D150" s="438" t="str">
        <f t="shared" si="16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25">
      <c r="B151" s="437" t="str">
        <f>Fluxo_de_Caixa_Janeiro[[#This Row],[Fluxo de Caixa 2026 CTR]]</f>
        <v>3.4.06. Manutenção/ reforma/ reparos</v>
      </c>
      <c r="C151" s="62">
        <f t="shared" si="17"/>
        <v>0</v>
      </c>
      <c r="D151" s="438" t="str">
        <f t="shared" si="16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25">
      <c r="B152" s="437" t="str">
        <f>Fluxo_de_Caixa_Janeiro[[#This Row],[Fluxo de Caixa 2026 CTR]]</f>
        <v>3.4.07. Diária de Prestador de Serviço</v>
      </c>
      <c r="C152" s="62">
        <f t="shared" si="17"/>
        <v>0</v>
      </c>
      <c r="D152" s="438" t="str">
        <f t="shared" si="16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25">
      <c r="B153" s="437" t="str">
        <f>Fluxo_de_Caixa_Janeiro[[#This Row],[Fluxo de Caixa 2026 CTR]]</f>
        <v>3.4.08. Consultoria (RH/Empresarial/Contábil/Etc)</v>
      </c>
      <c r="C153" s="62">
        <f t="shared" si="17"/>
        <v>0</v>
      </c>
      <c r="D153" s="438" t="str">
        <f t="shared" si="16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25">
      <c r="B154" s="437" t="str">
        <f>Fluxo_de_Caixa_Janeiro[[#This Row],[Fluxo de Caixa 2026 CTR]]</f>
        <v>3.4.09. Honorarios Advogado</v>
      </c>
      <c r="C154" s="62">
        <f t="shared" si="17"/>
        <v>0</v>
      </c>
      <c r="D154" s="438" t="str">
        <f t="shared" si="16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25">
      <c r="B155" s="437" t="str">
        <f>Fluxo_de_Caixa_Janeiro[[#This Row],[Fluxo de Caixa 2026 CTR]]</f>
        <v>3.4.10. Taxas Administrativas (Alvará de Funcio, taxas)</v>
      </c>
      <c r="C155" s="62">
        <f t="shared" si="17"/>
        <v>0</v>
      </c>
      <c r="D155" s="438" t="str">
        <f t="shared" si="16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25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 t="str">
        <f t="shared" si="16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25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 t="str">
        <f t="shared" si="16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25">
      <c r="B158" s="437" t="str">
        <f>Fluxo_de_Caixa_Janeiro[[#This Row],[Fluxo de Caixa 2026 CTR]]</f>
        <v>3.4.13. Seguradora Predial / Equipamento</v>
      </c>
      <c r="C158" s="62">
        <f t="shared" si="17"/>
        <v>0</v>
      </c>
      <c r="D158" s="438" t="str">
        <f t="shared" si="16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25">
      <c r="B159" s="437" t="str">
        <f>Fluxo_de_Caixa_Janeiro[[#This Row],[Fluxo de Caixa 2026 CTR]]</f>
        <v>3.4.14. Consulta de crédito SPC/Serasa</v>
      </c>
      <c r="C159" s="62">
        <f t="shared" si="17"/>
        <v>0</v>
      </c>
      <c r="D159" s="438" t="str">
        <f t="shared" si="16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25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 t="str">
        <f t="shared" si="16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25">
      <c r="B161" s="437" t="str">
        <f>Fluxo_de_Caixa_Janeiro[[#This Row],[Fluxo de Caixa 2026 CTR]]</f>
        <v xml:space="preserve">3.4.16. Pro labore </v>
      </c>
      <c r="C161" s="62">
        <f t="shared" si="17"/>
        <v>0</v>
      </c>
      <c r="D161" s="438" t="str">
        <f t="shared" si="16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25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 t="str">
        <f t="shared" si="16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25">
      <c r="B163" s="437" t="str">
        <f>Fluxo_de_Caixa_Janeiro[[#This Row],[Fluxo de Caixa 2026 CTR]]</f>
        <v>3.4.18. Seguro Prestamista - Variavel (Emprestimo)</v>
      </c>
      <c r="C163" s="62">
        <f t="shared" si="17"/>
        <v>0</v>
      </c>
      <c r="D163" s="438" t="str">
        <f t="shared" si="16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25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 t="str">
        <f t="shared" si="16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25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 t="str">
        <f t="shared" si="16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25">
      <c r="B166" s="437">
        <f>Fluxo_de_Caixa_Janeiro[[#This Row],[Fluxo de Caixa 2026 CTR]]</f>
        <v>0</v>
      </c>
      <c r="C166" s="62"/>
      <c r="D166" s="438" t="str">
        <f t="shared" si="16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.75" x14ac:dyDescent="0.3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25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8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25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0</v>
      </c>
      <c r="D169" s="438" t="str">
        <f t="shared" si="18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25">
      <c r="B170" s="437" t="str">
        <f>Fluxo_de_Caixa_Janeiro[[#This Row],[Fluxo de Caixa 2026 CTR]]</f>
        <v>3.5.03. Conta de Telefone Fixo/Internet</v>
      </c>
      <c r="C170" s="62">
        <f t="shared" si="19"/>
        <v>0</v>
      </c>
      <c r="D170" s="438" t="str">
        <f t="shared" si="18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25">
      <c r="B171" s="437" t="str">
        <f>Fluxo_de_Caixa_Janeiro[[#This Row],[Fluxo de Caixa 2026 CTR]]</f>
        <v>3.5.04. Conta de Celular</v>
      </c>
      <c r="C171" s="62">
        <f t="shared" si="19"/>
        <v>0</v>
      </c>
      <c r="D171" s="438" t="str">
        <f t="shared" si="18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25">
      <c r="B172" s="437" t="str">
        <f>Fluxo_de_Caixa_Janeiro[[#This Row],[Fluxo de Caixa 2026 CTR]]</f>
        <v>3.5.05. Aluguel Predial</v>
      </c>
      <c r="C172" s="62">
        <f t="shared" si="19"/>
        <v>0</v>
      </c>
      <c r="D172" s="438" t="str">
        <f t="shared" si="18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25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 t="str">
        <f t="shared" si="18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25">
      <c r="B174" s="437" t="str">
        <f>Fluxo_de_Caixa_Janeiro[[#This Row],[Fluxo de Caixa 2026 CTR]]</f>
        <v>3.5.07. Empresa de Vigilância e Monitoramento</v>
      </c>
      <c r="C174" s="62">
        <f t="shared" si="19"/>
        <v>0</v>
      </c>
      <c r="D174" s="438" t="str">
        <f t="shared" si="18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25">
      <c r="B175" s="437">
        <f>Fluxo_de_Caixa_Janeiro[[#This Row],[Fluxo de Caixa 2026 CTR]]</f>
        <v>0</v>
      </c>
      <c r="C175" s="62">
        <f t="shared" si="19"/>
        <v>0</v>
      </c>
      <c r="D175" s="438" t="str">
        <f t="shared" si="18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25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 t="str">
        <f t="shared" si="18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25">
      <c r="B177" s="437" t="str">
        <f>Fluxo_de_Caixa_Janeiro[[#This Row],[Fluxo de Caixa 2026 CTR]]</f>
        <v>3.5.10. Honorarios Contabilidade</v>
      </c>
      <c r="C177" s="62">
        <f t="shared" si="19"/>
        <v>0</v>
      </c>
      <c r="D177" s="438" t="str">
        <f t="shared" si="18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25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 t="str">
        <f t="shared" si="18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25">
      <c r="B179" s="437">
        <f>Fluxo_de_Caixa_Janeiro[[#This Row],[Fluxo de Caixa 2026 CTR]]</f>
        <v>0</v>
      </c>
      <c r="C179" s="62"/>
      <c r="D179" s="438" t="str">
        <f t="shared" si="18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25">
      <c r="B180" s="437">
        <f>Fluxo_de_Caixa_Janeiro[[#This Row],[Fluxo de Caixa 2026 CTR]]</f>
        <v>0</v>
      </c>
      <c r="C180" s="62"/>
      <c r="D180" s="438" t="str">
        <f t="shared" si="18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25">
      <c r="B181" s="437">
        <f>Fluxo_de_Caixa_Janeiro[[#This Row],[Fluxo de Caixa 2026 CTR]]</f>
        <v>0</v>
      </c>
      <c r="C181" s="62"/>
      <c r="D181" s="438" t="str">
        <f t="shared" si="18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.75" x14ac:dyDescent="0.3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25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20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25">
      <c r="B184" s="437" t="str">
        <f>Fluxo_de_Caixa_Janeiro[[#This Row],[Fluxo de Caixa 2026 CTR]]</f>
        <v>3.6.02. IOF</v>
      </c>
      <c r="C184" s="62">
        <f t="shared" ref="C184:C199" si="21">H184+I184+J184</f>
        <v>0</v>
      </c>
      <c r="D184" s="438" t="str">
        <f t="shared" si="20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25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 t="str">
        <f t="shared" si="20"/>
        <v>0,00%</v>
      </c>
      <c r="E185" s="317">
        <v>-11</v>
      </c>
      <c r="F185"/>
      <c r="I185" s="246"/>
      <c r="J185" s="246"/>
    </row>
    <row r="186" spans="1:10" hidden="1" x14ac:dyDescent="0.25">
      <c r="B186" s="437">
        <f>Fluxo_de_Caixa_Janeiro[[#This Row],[Fluxo de Caixa 2026 CTR]]</f>
        <v>0</v>
      </c>
      <c r="C186" s="62">
        <f t="shared" si="21"/>
        <v>0</v>
      </c>
      <c r="D186" s="438" t="str">
        <f t="shared" si="20"/>
        <v>0,00%</v>
      </c>
      <c r="E186" s="317">
        <v>-10</v>
      </c>
      <c r="F186"/>
      <c r="I186" s="246"/>
      <c r="J186" s="246"/>
    </row>
    <row r="187" spans="1:10" x14ac:dyDescent="0.25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 t="str">
        <f t="shared" si="20"/>
        <v>0,00%</v>
      </c>
      <c r="E187" s="317">
        <v>-9</v>
      </c>
      <c r="F187"/>
      <c r="I187" s="246"/>
      <c r="J187" s="246"/>
    </row>
    <row r="188" spans="1:10" hidden="1" x14ac:dyDescent="0.25">
      <c r="B188" s="437">
        <f>Fluxo_de_Caixa_Janeiro[[#This Row],[Fluxo de Caixa 2026 CTR]]</f>
        <v>0</v>
      </c>
      <c r="C188" s="62">
        <f t="shared" si="21"/>
        <v>0</v>
      </c>
      <c r="D188" s="438" t="str">
        <f t="shared" si="20"/>
        <v>0,00%</v>
      </c>
      <c r="E188" s="317">
        <v>-8</v>
      </c>
      <c r="F188"/>
      <c r="I188" s="246"/>
      <c r="J188" s="246"/>
    </row>
    <row r="189" spans="1:10" x14ac:dyDescent="0.25">
      <c r="B189" s="437" t="str">
        <f>Fluxo_de_Caixa_Janeiro[[#This Row],[Fluxo de Caixa 2026 CTR]]</f>
        <v>3.6.07.FALTA ACERTO CAIXA</v>
      </c>
      <c r="C189" s="62">
        <f t="shared" si="21"/>
        <v>0</v>
      </c>
      <c r="D189" s="438" t="str">
        <f t="shared" si="20"/>
        <v>0,00%</v>
      </c>
      <c r="E189" s="317">
        <v>-7</v>
      </c>
      <c r="F189"/>
      <c r="I189" s="246"/>
      <c r="J189" s="246"/>
    </row>
    <row r="190" spans="1:10" x14ac:dyDescent="0.25">
      <c r="B190" s="437" t="str">
        <f>Fluxo_de_Caixa_Janeiro[[#This Row],[Fluxo de Caixa 2026 CTR]]</f>
        <v>3.6.08. Juros Sobre Emprestimos</v>
      </c>
      <c r="C190" s="62">
        <f t="shared" si="21"/>
        <v>0</v>
      </c>
      <c r="D190" s="438" t="str">
        <f t="shared" si="20"/>
        <v>0,00%</v>
      </c>
      <c r="E190" s="317">
        <v>-6</v>
      </c>
      <c r="F190"/>
      <c r="I190" s="246"/>
      <c r="J190" s="246"/>
    </row>
    <row r="191" spans="1:10" x14ac:dyDescent="0.25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 t="str">
        <f t="shared" si="20"/>
        <v>0,00%</v>
      </c>
      <c r="E191" s="317">
        <v>-5</v>
      </c>
      <c r="F191"/>
      <c r="I191" s="246"/>
      <c r="J191" s="246"/>
    </row>
    <row r="192" spans="1:10" x14ac:dyDescent="0.25">
      <c r="B192" s="437" t="str">
        <f>Fluxo_de_Caixa_Janeiro[[#This Row],[Fluxo de Caixa 2026 CTR]]</f>
        <v>3.6.10.DESCONTOS OBTIDOS</v>
      </c>
      <c r="C192" s="62">
        <f t="shared" si="21"/>
        <v>0</v>
      </c>
      <c r="D192" s="438" t="str">
        <f t="shared" si="20"/>
        <v>0,00%</v>
      </c>
      <c r="E192" s="317">
        <v>-4</v>
      </c>
      <c r="F192"/>
      <c r="I192" s="246"/>
      <c r="J192" s="246"/>
    </row>
    <row r="193" spans="1:10" hidden="1" x14ac:dyDescent="0.25">
      <c r="B193" s="437">
        <f>Fluxo_de_Caixa_Janeiro[[#This Row],[Fluxo de Caixa 2026 CTR]]</f>
        <v>0</v>
      </c>
      <c r="C193" s="62">
        <f t="shared" si="21"/>
        <v>0</v>
      </c>
      <c r="D193" s="438" t="str">
        <f t="shared" si="20"/>
        <v>0,00%</v>
      </c>
      <c r="E193" s="317">
        <v>-3</v>
      </c>
      <c r="F193"/>
      <c r="I193" s="246"/>
      <c r="J193" s="246"/>
    </row>
    <row r="194" spans="1:10" hidden="1" x14ac:dyDescent="0.25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 t="str">
        <f t="shared" si="20"/>
        <v>0,00%</v>
      </c>
      <c r="E194" s="317">
        <v>-2</v>
      </c>
      <c r="F194"/>
      <c r="I194" s="246"/>
      <c r="J194" s="246"/>
    </row>
    <row r="195" spans="1:10" hidden="1" x14ac:dyDescent="0.25">
      <c r="B195" s="437">
        <f>Fluxo_de_Caixa_Janeiro[[#This Row],[Fluxo de Caixa 2026 CTR]]</f>
        <v>0</v>
      </c>
      <c r="C195" s="62">
        <f t="shared" si="21"/>
        <v>0</v>
      </c>
      <c r="D195" s="438" t="str">
        <f t="shared" si="20"/>
        <v>0,00%</v>
      </c>
      <c r="E195" s="317">
        <v>-1</v>
      </c>
      <c r="F195"/>
      <c r="I195" s="246"/>
      <c r="J195" s="246"/>
    </row>
    <row r="196" spans="1:10" x14ac:dyDescent="0.25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 t="str">
        <f t="shared" si="20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25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 t="str">
        <f t="shared" si="20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25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 t="str">
        <f t="shared" si="20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25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 t="str">
        <f t="shared" si="20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.75" x14ac:dyDescent="0.3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25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2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25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0</v>
      </c>
      <c r="D202" s="438" t="str">
        <f t="shared" si="22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25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 t="str">
        <f t="shared" si="22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25">
      <c r="B204" s="437" t="str">
        <f>Fluxo_de_Caixa_Janeiro[[#This Row],[Fluxo de Caixa 2026 CTR]]</f>
        <v>3.7.04. Multa</v>
      </c>
      <c r="C204" s="62">
        <f t="shared" si="23"/>
        <v>0</v>
      </c>
      <c r="D204" s="438" t="str">
        <f t="shared" si="22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25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 t="str">
        <f t="shared" si="22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25">
      <c r="B206" s="437" t="str">
        <f>Fluxo_de_Caixa_Janeiro[[#This Row],[Fluxo de Caixa 2026 CTR]]</f>
        <v>3.7.06. Aluguel de Veículo</v>
      </c>
      <c r="C206" s="62">
        <f t="shared" si="23"/>
        <v>0</v>
      </c>
      <c r="D206" s="438" t="str">
        <f t="shared" si="22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25">
      <c r="B207" s="437" t="str">
        <f>Fluxo_de_Caixa_Janeiro[[#This Row],[Fluxo de Caixa 2026 CTR]]</f>
        <v>3.7.07.RASTREAMENTO POR GPS</v>
      </c>
      <c r="C207" s="62">
        <f t="shared" si="23"/>
        <v>0</v>
      </c>
      <c r="D207" s="438" t="str">
        <f t="shared" si="22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25">
      <c r="B208" s="437" t="str">
        <f>Fluxo_de_Caixa_Janeiro[[#This Row],[Fluxo de Caixa 2026 CTR]]</f>
        <v>3.7.08. Seguro Veicular</v>
      </c>
      <c r="C208" s="62">
        <f t="shared" si="23"/>
        <v>0</v>
      </c>
      <c r="D208" s="438" t="str">
        <f t="shared" si="22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25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 t="str">
        <f t="shared" si="22"/>
        <v>0,00%</v>
      </c>
      <c r="E209" s="319" t="e">
        <f>#REF!</f>
        <v>#REF!</v>
      </c>
      <c r="F209"/>
      <c r="I209" s="246"/>
      <c r="J209" s="246"/>
    </row>
    <row r="210" spans="1:10" hidden="1" x14ac:dyDescent="0.25">
      <c r="B210" s="437">
        <f>Fluxo_de_Caixa_Janeiro[[#This Row],[Fluxo de Caixa 2026 CTR]]</f>
        <v>0</v>
      </c>
      <c r="C210" s="62"/>
      <c r="D210" s="438" t="str">
        <f t="shared" si="22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25">
      <c r="B211" s="437">
        <f>Fluxo_de_Caixa_Janeiro[[#This Row],[Fluxo de Caixa 2026 CTR]]</f>
        <v>0</v>
      </c>
      <c r="C211" s="62"/>
      <c r="D211" s="438" t="str">
        <f t="shared" si="22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.75" x14ac:dyDescent="0.3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25">
      <c r="B213" s="437">
        <f>Fluxo_de_Caixa_Janeiro[[#This Row],[Fluxo de Caixa 2026 CTR]]</f>
        <v>0</v>
      </c>
      <c r="C213" s="62"/>
      <c r="D213" s="438" t="str">
        <f t="shared" ref="D213:D230" si="24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25">
      <c r="B214" s="437">
        <f>Fluxo_de_Caixa_Janeiro[[#This Row],[Fluxo de Caixa 2026 CTR]]</f>
        <v>0</v>
      </c>
      <c r="C214" s="62"/>
      <c r="D214" s="438" t="str">
        <f t="shared" si="24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25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4"/>
        <v>0,00%</v>
      </c>
      <c r="E215" s="317" t="e">
        <f>#REF!</f>
        <v>#REF!</v>
      </c>
      <c r="F215"/>
      <c r="I215" s="246"/>
      <c r="J215" s="246"/>
    </row>
    <row r="216" spans="1:10" hidden="1" x14ac:dyDescent="0.25">
      <c r="B216" s="437">
        <f>Fluxo_de_Caixa_Janeiro[[#This Row],[Fluxo de Caixa 2026 CTR]]</f>
        <v>0</v>
      </c>
      <c r="C216" s="62">
        <f t="shared" ref="C216:C228" si="25">H216+I216+J216</f>
        <v>0</v>
      </c>
      <c r="D216" s="438" t="str">
        <f t="shared" si="24"/>
        <v>0,00%</v>
      </c>
      <c r="E216" s="317" t="e">
        <f>#REF!</f>
        <v>#REF!</v>
      </c>
      <c r="F216"/>
      <c r="I216" s="246"/>
      <c r="J216" s="246"/>
    </row>
    <row r="217" spans="1:10" x14ac:dyDescent="0.25">
      <c r="B217" s="437" t="str">
        <f>Fluxo_de_Caixa_Janeiro[[#This Row],[Fluxo de Caixa 2026 CTR]]</f>
        <v>3.8.05. IR</v>
      </c>
      <c r="C217" s="62">
        <f t="shared" si="25"/>
        <v>0</v>
      </c>
      <c r="D217" s="438" t="str">
        <f t="shared" si="24"/>
        <v>0,00%</v>
      </c>
      <c r="E217" s="317" t="e">
        <f>#REF!</f>
        <v>#REF!</v>
      </c>
      <c r="F217"/>
      <c r="I217" s="246"/>
      <c r="J217" s="246"/>
    </row>
    <row r="218" spans="1:10" x14ac:dyDescent="0.25">
      <c r="B218" s="437" t="str">
        <f>Fluxo_de_Caixa_Janeiro[[#This Row],[Fluxo de Caixa 2026 CTR]]</f>
        <v>3.8.06. CSLL</v>
      </c>
      <c r="C218" s="62">
        <f t="shared" si="25"/>
        <v>0</v>
      </c>
      <c r="D218" s="438" t="str">
        <f t="shared" si="24"/>
        <v>0,00%</v>
      </c>
      <c r="E218" s="317" t="e">
        <f>#REF!</f>
        <v>#REF!</v>
      </c>
      <c r="F218"/>
      <c r="I218" s="246"/>
      <c r="J218" s="246"/>
    </row>
    <row r="219" spans="1:10" x14ac:dyDescent="0.25">
      <c r="B219" s="437" t="str">
        <f>Fluxo_de_Caixa_Janeiro[[#This Row],[Fluxo de Caixa 2026 CTR]]</f>
        <v>3.8.07. IPTU</v>
      </c>
      <c r="C219" s="62">
        <f t="shared" si="25"/>
        <v>0</v>
      </c>
      <c r="D219" s="438" t="str">
        <f t="shared" si="24"/>
        <v>0,00%</v>
      </c>
      <c r="E219" s="317" t="e">
        <f>#REF!</f>
        <v>#REF!</v>
      </c>
      <c r="F219"/>
      <c r="I219" s="246"/>
      <c r="J219" s="246"/>
    </row>
    <row r="220" spans="1:10" x14ac:dyDescent="0.25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 t="str">
        <f t="shared" si="24"/>
        <v>0,00%</v>
      </c>
      <c r="E220" s="317" t="e">
        <f>#REF!</f>
        <v>#REF!</v>
      </c>
      <c r="F220"/>
      <c r="I220" s="246"/>
      <c r="J220" s="246"/>
    </row>
    <row r="221" spans="1:10" x14ac:dyDescent="0.25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 t="str">
        <f t="shared" si="24"/>
        <v>0,00%</v>
      </c>
      <c r="E221" s="317" t="e">
        <f>#REF!</f>
        <v>#REF!</v>
      </c>
      <c r="F221"/>
      <c r="I221" s="246"/>
      <c r="J221" s="246"/>
    </row>
    <row r="222" spans="1:10" x14ac:dyDescent="0.25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 t="str">
        <f t="shared" si="24"/>
        <v>0,00%</v>
      </c>
      <c r="E222" s="317" t="e">
        <f>#REF!</f>
        <v>#REF!</v>
      </c>
      <c r="F222"/>
      <c r="I222" s="246"/>
      <c r="J222" s="246"/>
    </row>
    <row r="223" spans="1:10" x14ac:dyDescent="0.25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 t="str">
        <f t="shared" si="24"/>
        <v>0,00%</v>
      </c>
      <c r="E223" s="317" t="e">
        <f>#REF!</f>
        <v>#REF!</v>
      </c>
      <c r="F223"/>
      <c r="I223" s="246"/>
      <c r="J223" s="246"/>
    </row>
    <row r="224" spans="1:10" x14ac:dyDescent="0.25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 t="str">
        <f t="shared" si="24"/>
        <v>0,00%</v>
      </c>
      <c r="E224" s="317" t="e">
        <f>#REF!</f>
        <v>#REF!</v>
      </c>
      <c r="F224"/>
      <c r="I224" s="246"/>
      <c r="J224" s="246"/>
    </row>
    <row r="225" spans="2:14" x14ac:dyDescent="0.25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 t="str">
        <f t="shared" si="24"/>
        <v>0,00%</v>
      </c>
      <c r="E225" s="317" t="e">
        <f>#REF!</f>
        <v>#REF!</v>
      </c>
      <c r="F225"/>
      <c r="I225" s="246"/>
      <c r="J225" s="246"/>
    </row>
    <row r="226" spans="2:14" hidden="1" x14ac:dyDescent="0.25">
      <c r="B226" s="437">
        <f>Fluxo_de_Caixa_Janeiro[[#This Row],[Fluxo de Caixa 2026 CTR]]</f>
        <v>0</v>
      </c>
      <c r="C226" s="62">
        <f t="shared" si="25"/>
        <v>0</v>
      </c>
      <c r="D226" s="438" t="str">
        <f t="shared" si="24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25">
      <c r="B227" s="437">
        <f>Fluxo_de_Caixa_Janeiro[[#This Row],[Fluxo de Caixa 2026 CTR]]</f>
        <v>0</v>
      </c>
      <c r="C227" s="62">
        <f t="shared" si="25"/>
        <v>0</v>
      </c>
      <c r="D227" s="438" t="str">
        <f t="shared" si="24"/>
        <v>0,00%</v>
      </c>
      <c r="E227" s="317" t="e">
        <f>#REF!</f>
        <v>#REF!</v>
      </c>
      <c r="F227"/>
      <c r="I227" s="246"/>
      <c r="J227" s="246"/>
    </row>
    <row r="228" spans="2:14" x14ac:dyDescent="0.25">
      <c r="B228" s="437" t="str">
        <f>Fluxo_de_Caixa_Janeiro[[#This Row],[Fluxo de Caixa 2026 CTR]]</f>
        <v>3.8.16. CRF Sobre Serviço</v>
      </c>
      <c r="C228" s="62">
        <f t="shared" si="25"/>
        <v>0</v>
      </c>
      <c r="D228" s="438" t="str">
        <f t="shared" si="24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25">
      <c r="B229" s="437">
        <f>Fluxo_de_Caixa_Janeiro[[#This Row],[Fluxo de Caixa 2026 CTR]]</f>
        <v>0</v>
      </c>
      <c r="C229" s="62"/>
      <c r="D229" s="438" t="str">
        <f t="shared" si="24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25">
      <c r="B230" s="437">
        <f>Fluxo_de_Caixa_Janeiro[[#This Row],[Fluxo de Caixa 2026 CTR]]</f>
        <v>0</v>
      </c>
      <c r="C230" s="62"/>
      <c r="D230" s="438" t="str">
        <f t="shared" si="24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.75" x14ac:dyDescent="0.3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25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6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25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6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25">
      <c r="B234" s="437">
        <f>Fluxo_de_Caixa_Janeiro[[#This Row],[Fluxo de Caixa 2026 CTR]]</f>
        <v>0</v>
      </c>
      <c r="C234" s="62"/>
      <c r="D234" s="438" t="str">
        <f t="shared" si="26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25">
      <c r="B235" s="437">
        <f>Fluxo_de_Caixa_Janeiro[[#This Row],[Fluxo de Caixa 2026 CTR]]</f>
        <v>0</v>
      </c>
      <c r="C235" s="62"/>
      <c r="D235" s="438" t="str">
        <f t="shared" si="26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3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6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7" thickBot="1" x14ac:dyDescent="0.45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6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4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4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7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25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7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25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25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25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25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25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25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.75" hidden="1" thickBot="1" x14ac:dyDescent="0.3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4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7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25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25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25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25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25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25">
      <c r="B254" s="419" t="str">
        <f>Fluxo_de_Caixa_Janeiro[[#This Row],[Fluxo de Caixa 2026 CTR]]</f>
        <v>4.2.06 Rendimentos CDB/Fundos/Alugueis</v>
      </c>
      <c r="C254" s="62">
        <f t="shared" si="29"/>
        <v>0</v>
      </c>
      <c r="D254" s="420" t="str">
        <f t="shared" si="27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25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25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.75" thickBot="1" x14ac:dyDescent="0.3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25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25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.75" hidden="1" thickBot="1" x14ac:dyDescent="0.3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4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7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25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25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25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25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hidden="1" x14ac:dyDescent="0.25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25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25">
      <c r="B268" s="419" t="str">
        <f>Fluxo_de_Caixa_Janeiro[[#This Row],[Fluxo de Caixa 2026 CTR]]</f>
        <v>4.3.07. RECEITA NÃO IDENTIFICADA</v>
      </c>
      <c r="C268" s="62">
        <f t="shared" si="30"/>
        <v>0</v>
      </c>
      <c r="D268" s="420" t="str">
        <f t="shared" si="27"/>
        <v>0,00%</v>
      </c>
      <c r="E268" s="325" t="e">
        <f>#REF!</f>
        <v>#REF!</v>
      </c>
      <c r="F268"/>
      <c r="I268" s="246"/>
      <c r="J268" s="246"/>
    </row>
    <row r="269" spans="2:10" x14ac:dyDescent="0.25">
      <c r="B269" s="419" t="str">
        <f>Fluxo_de_Caixa_Janeiro[[#This Row],[Fluxo de Caixa 2026 CTR]]</f>
        <v>4.3.08. DESPESAS NÃO IDENTIFICADAS ( - )</v>
      </c>
      <c r="C269" s="62">
        <f t="shared" si="30"/>
        <v>0</v>
      </c>
      <c r="D269" s="420" t="str">
        <f t="shared" si="27"/>
        <v>0,00%</v>
      </c>
      <c r="E269" s="325" t="e">
        <f>#REF!</f>
        <v>#REF!</v>
      </c>
      <c r="F269"/>
      <c r="I269" s="246"/>
      <c r="J269" s="246"/>
    </row>
    <row r="270" spans="2:10" x14ac:dyDescent="0.25">
      <c r="B270" s="419" t="str">
        <f>Fluxo_de_Caixa_Janeiro[[#This Row],[Fluxo de Caixa 2026 CTR]]</f>
        <v>4.3.09. PATROCÍNIO  EM DINHEIRO</v>
      </c>
      <c r="C270" s="62">
        <f t="shared" si="30"/>
        <v>0</v>
      </c>
      <c r="D270" s="420" t="str">
        <f t="shared" si="27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.75" thickBot="1" x14ac:dyDescent="0.3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15" customHeight="1" thickBot="1" x14ac:dyDescent="0.45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35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25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1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25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 t="str">
        <f t="shared" si="31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25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 t="str">
        <f t="shared" si="31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25">
      <c r="B277" s="449" t="str">
        <f>Fluxo_de_Caixa_Janeiro[[#This Row],[Fluxo de Caixa 2026 CTR]]</f>
        <v>5.1.04. PESSOA FISICA</v>
      </c>
      <c r="C277" s="62">
        <f t="shared" si="32"/>
        <v>0</v>
      </c>
      <c r="D277" s="450" t="str">
        <f t="shared" si="31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25">
      <c r="B278" s="449">
        <f>Fluxo_de_Caixa_Janeiro[[#This Row],[Fluxo de Caixa 2026 CTR]]</f>
        <v>0</v>
      </c>
      <c r="C278" s="80"/>
      <c r="D278" s="450" t="str">
        <f t="shared" si="31"/>
        <v>0,00%</v>
      </c>
      <c r="E278" s="329" t="e">
        <f>#REF!</f>
        <v>#REF!</v>
      </c>
      <c r="F278"/>
      <c r="I278" s="246"/>
      <c r="J278" s="246"/>
    </row>
    <row r="279" spans="2:10" hidden="1" x14ac:dyDescent="0.25">
      <c r="B279" s="449">
        <f>Fluxo_de_Caixa_Janeiro[[#This Row],[Fluxo de Caixa 2026 CTR]]</f>
        <v>0</v>
      </c>
      <c r="C279" s="80"/>
      <c r="D279" s="450" t="str">
        <f t="shared" si="31"/>
        <v>0,00%</v>
      </c>
      <c r="E279" s="329" t="e">
        <f>#REF!</f>
        <v>#REF!</v>
      </c>
      <c r="F279"/>
      <c r="I279" s="246"/>
      <c r="J279" s="246"/>
    </row>
    <row r="280" spans="2:10" hidden="1" x14ac:dyDescent="0.25">
      <c r="B280" s="449">
        <f>Fluxo_de_Caixa_Janeiro[[#This Row],[Fluxo de Caixa 2026 CTR]]</f>
        <v>0</v>
      </c>
      <c r="C280" s="80"/>
      <c r="D280" s="450" t="str">
        <f t="shared" si="31"/>
        <v>0,00%</v>
      </c>
      <c r="E280" s="329" t="e">
        <f>#REF!</f>
        <v>#REF!</v>
      </c>
      <c r="F280"/>
      <c r="I280" s="246"/>
      <c r="J280" s="246"/>
    </row>
    <row r="281" spans="2:10" hidden="1" x14ac:dyDescent="0.25">
      <c r="B281" s="449">
        <f>Fluxo_de_Caixa_Janeiro[[#This Row],[Fluxo de Caixa 2026 CTR]]</f>
        <v>0</v>
      </c>
      <c r="C281" s="80"/>
      <c r="D281" s="450" t="str">
        <f t="shared" si="31"/>
        <v>0,00%</v>
      </c>
      <c r="E281" s="329" t="e">
        <f>#REF!</f>
        <v>#REF!</v>
      </c>
      <c r="F281"/>
      <c r="I281" s="246"/>
      <c r="J281" s="246"/>
    </row>
    <row r="282" spans="2:10" hidden="1" x14ac:dyDescent="0.25">
      <c r="B282" s="449">
        <f>Fluxo_de_Caixa_Janeiro[[#This Row],[Fluxo de Caixa 2026 CTR]]</f>
        <v>0</v>
      </c>
      <c r="C282" s="80"/>
      <c r="D282" s="450" t="str">
        <f t="shared" si="31"/>
        <v>0,00%</v>
      </c>
      <c r="E282" s="329" t="e">
        <f>#REF!</f>
        <v>#REF!</v>
      </c>
      <c r="F282"/>
      <c r="I282" s="246"/>
      <c r="J282" s="246"/>
    </row>
    <row r="283" spans="2:10" hidden="1" x14ac:dyDescent="0.25">
      <c r="B283" s="449">
        <f>Fluxo_de_Caixa_Janeiro[[#This Row],[Fluxo de Caixa 2026 CTR]]</f>
        <v>0</v>
      </c>
      <c r="C283" s="80"/>
      <c r="D283" s="450" t="str">
        <f t="shared" si="31"/>
        <v>0,00%</v>
      </c>
      <c r="E283" s="329" t="e">
        <f>#REF!</f>
        <v>#REF!</v>
      </c>
      <c r="F283"/>
      <c r="I283" s="246"/>
      <c r="J283" s="246"/>
    </row>
    <row r="284" spans="2:10" hidden="1" x14ac:dyDescent="0.25">
      <c r="B284" s="449">
        <f>Fluxo_de_Caixa_Janeiro[[#This Row],[Fluxo de Caixa 2026 CTR]]</f>
        <v>0</v>
      </c>
      <c r="C284" s="80"/>
      <c r="D284" s="450" t="str">
        <f t="shared" si="31"/>
        <v>0,00%</v>
      </c>
      <c r="E284" s="329" t="e">
        <f>#REF!</f>
        <v>#REF!</v>
      </c>
      <c r="F284"/>
      <c r="I284" s="246"/>
      <c r="J284" s="246"/>
    </row>
    <row r="285" spans="2:10" hidden="1" x14ac:dyDescent="0.25">
      <c r="B285" s="449">
        <f>Fluxo_de_Caixa_Janeiro[[#This Row],[Fluxo de Caixa 2026 CTR]]</f>
        <v>0</v>
      </c>
      <c r="C285" s="80"/>
      <c r="D285" s="450" t="str">
        <f t="shared" si="31"/>
        <v>0,00%</v>
      </c>
      <c r="E285" s="329" t="e">
        <f>#REF!</f>
        <v>#REF!</v>
      </c>
      <c r="F285"/>
      <c r="I285" s="246"/>
      <c r="J285" s="246"/>
    </row>
    <row r="286" spans="2:10" hidden="1" x14ac:dyDescent="0.25">
      <c r="B286" s="449">
        <f>Fluxo_de_Caixa_Janeiro[[#This Row],[Fluxo de Caixa 2026 CTR]]</f>
        <v>0</v>
      </c>
      <c r="C286" s="80"/>
      <c r="D286" s="450" t="str">
        <f t="shared" si="31"/>
        <v>0,00%</v>
      </c>
      <c r="E286" s="329" t="e">
        <f>#REF!</f>
        <v>#REF!</v>
      </c>
      <c r="F286"/>
      <c r="I286" s="246"/>
      <c r="J286" s="246"/>
    </row>
    <row r="287" spans="2:10" hidden="1" x14ac:dyDescent="0.25">
      <c r="B287" s="449">
        <f>Fluxo_de_Caixa_Janeiro[[#This Row],[Fluxo de Caixa 2026 CTR]]</f>
        <v>0</v>
      </c>
      <c r="C287" s="80"/>
      <c r="D287" s="450" t="str">
        <f t="shared" si="31"/>
        <v>0,00%</v>
      </c>
      <c r="E287" s="329" t="e">
        <f>#REF!</f>
        <v>#REF!</v>
      </c>
      <c r="F287"/>
      <c r="I287" s="246"/>
      <c r="J287" s="246"/>
    </row>
    <row r="288" spans="2:10" hidden="1" x14ac:dyDescent="0.25">
      <c r="B288" s="449">
        <f>Fluxo_de_Caixa_Janeiro[[#This Row],[Fluxo de Caixa 2026 CTR]]</f>
        <v>0</v>
      </c>
      <c r="C288" s="80"/>
      <c r="D288" s="450" t="str">
        <f t="shared" si="31"/>
        <v>0,00%</v>
      </c>
      <c r="E288" s="329" t="e">
        <f>#REF!</f>
        <v>#REF!</v>
      </c>
      <c r="F288"/>
      <c r="I288" s="246"/>
      <c r="J288" s="246"/>
    </row>
    <row r="289" spans="2:10" hidden="1" x14ac:dyDescent="0.25">
      <c r="B289" s="449">
        <f>Fluxo_de_Caixa_Janeiro[[#This Row],[Fluxo de Caixa 2026 CTR]]</f>
        <v>0</v>
      </c>
      <c r="C289" s="80"/>
      <c r="D289" s="450" t="str">
        <f t="shared" si="31"/>
        <v>0,00%</v>
      </c>
      <c r="E289" s="329" t="e">
        <f>#REF!</f>
        <v>#REF!</v>
      </c>
      <c r="F289"/>
      <c r="I289" s="246"/>
      <c r="J289" s="246"/>
    </row>
    <row r="290" spans="2:10" hidden="1" x14ac:dyDescent="0.25">
      <c r="B290" s="449">
        <f>Fluxo_de_Caixa_Janeiro[[#This Row],[Fluxo de Caixa 2026 CTR]]</f>
        <v>0</v>
      </c>
      <c r="C290" s="80"/>
      <c r="D290" s="450" t="str">
        <f t="shared" si="31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25">
      <c r="B291" s="449">
        <f>Fluxo_de_Caixa_Janeiro[[#This Row],[Fluxo de Caixa 2026 CTR]]</f>
        <v>0</v>
      </c>
      <c r="C291" s="80"/>
      <c r="D291" s="450" t="str">
        <f t="shared" si="31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25">
      <c r="B292" s="449">
        <f>Fluxo_de_Caixa_Janeiro[[#This Row],[Fluxo de Caixa 2026 CTR]]</f>
        <v>0</v>
      </c>
      <c r="C292" s="80"/>
      <c r="D292" s="450" t="str">
        <f t="shared" si="31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25">
      <c r="B293" s="449">
        <f>Fluxo_de_Caixa_Janeiro[[#This Row],[Fluxo de Caixa 2026 CTR]]</f>
        <v>0</v>
      </c>
      <c r="C293" s="80"/>
      <c r="D293" s="450" t="str">
        <f t="shared" si="31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.75" x14ac:dyDescent="0.3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25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3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25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 t="str">
        <f t="shared" si="33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25">
      <c r="B297" s="449" t="str">
        <f>Fluxo_de_Caixa_Janeiro[[#This Row],[Fluxo de Caixa 2026 CTR]]</f>
        <v>5.2.03. LEASING</v>
      </c>
      <c r="C297" s="62">
        <f t="shared" si="34"/>
        <v>0</v>
      </c>
      <c r="D297" s="450" t="str">
        <f t="shared" si="33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25">
      <c r="B298" s="449" t="str">
        <f>Fluxo_de_Caixa_Janeiro[[#This Row],[Fluxo de Caixa 2026 CTR]]</f>
        <v>5.2.04. COMPRA DE TERRENOS</v>
      </c>
      <c r="C298" s="62">
        <f t="shared" si="34"/>
        <v>0</v>
      </c>
      <c r="D298" s="450" t="str">
        <f t="shared" si="33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25">
      <c r="B299" s="449" t="str">
        <f>Fluxo_de_Caixa_Janeiro[[#This Row],[Fluxo de Caixa 2026 CTR]]</f>
        <v>5.2.06. AQUISICAO TITULO DE CAPITALIZACAO</v>
      </c>
      <c r="C299" s="62">
        <f t="shared" si="34"/>
        <v>0</v>
      </c>
      <c r="D299" s="450" t="str">
        <f t="shared" si="33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25">
      <c r="B300" s="449" t="str">
        <f>Fluxo_de_Caixa_Janeiro[[#This Row],[Fluxo de Caixa 2026 CTR]]</f>
        <v>5.2.07. CONSORCIOS</v>
      </c>
      <c r="C300" s="62">
        <f t="shared" si="34"/>
        <v>0</v>
      </c>
      <c r="D300" s="450" t="str">
        <f t="shared" si="33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25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 t="str">
        <f t="shared" si="33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25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 t="str">
        <f t="shared" si="33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25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 t="str">
        <f t="shared" si="33"/>
        <v>0,00%</v>
      </c>
      <c r="E303" s="329" t="e">
        <f>#REF!</f>
        <v>#REF!</v>
      </c>
      <c r="F303"/>
      <c r="I303" s="246"/>
      <c r="J303" s="246"/>
    </row>
    <row r="304" spans="2:10" x14ac:dyDescent="0.25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 t="str">
        <f t="shared" si="33"/>
        <v>0,00%</v>
      </c>
      <c r="E304" s="329" t="e">
        <f>#REF!</f>
        <v>#REF!</v>
      </c>
      <c r="F304"/>
      <c r="I304" s="246"/>
      <c r="J304" s="246"/>
    </row>
    <row r="305" spans="2:10" x14ac:dyDescent="0.25">
      <c r="B305" s="449" t="str">
        <f>Fluxo_de_Caixa_Janeiro[[#This Row],[Fluxo de Caixa 2026 CTR]]</f>
        <v>5.2.17. DEVOLUÇÃO DE CAPITAL INVESTIDO</v>
      </c>
      <c r="C305" s="62">
        <f t="shared" si="34"/>
        <v>0</v>
      </c>
      <c r="D305" s="450" t="str">
        <f t="shared" si="33"/>
        <v>0,00%</v>
      </c>
      <c r="E305" s="329" t="e">
        <f>#REF!</f>
        <v>#REF!</v>
      </c>
      <c r="F305"/>
      <c r="I305" s="246"/>
      <c r="J305" s="246"/>
    </row>
    <row r="306" spans="2:10" hidden="1" x14ac:dyDescent="0.25">
      <c r="B306" s="449">
        <f>Fluxo_de_Caixa_Janeiro[[#This Row],[Fluxo de Caixa 2026 CTR]]</f>
        <v>0</v>
      </c>
      <c r="C306" s="80"/>
      <c r="D306" s="450" t="str">
        <f t="shared" si="33"/>
        <v>0,00%</v>
      </c>
      <c r="E306" s="329" t="e">
        <f>#REF!</f>
        <v>#REF!</v>
      </c>
      <c r="F306"/>
      <c r="I306" s="246"/>
      <c r="J306" s="246"/>
    </row>
    <row r="307" spans="2:10" hidden="1" x14ac:dyDescent="0.25">
      <c r="B307" s="449">
        <f>Fluxo_de_Caixa_Janeiro[[#This Row],[Fluxo de Caixa 2026 CTR]]</f>
        <v>0</v>
      </c>
      <c r="C307" s="80"/>
      <c r="D307" s="450" t="str">
        <f t="shared" si="33"/>
        <v>0,00%</v>
      </c>
      <c r="E307" s="329" t="e">
        <f>#REF!</f>
        <v>#REF!</v>
      </c>
      <c r="F307"/>
      <c r="I307" s="246"/>
      <c r="J307" s="246"/>
    </row>
    <row r="308" spans="2:10" hidden="1" x14ac:dyDescent="0.25">
      <c r="B308" s="449">
        <f>Fluxo_de_Caixa_Janeiro[[#This Row],[Fluxo de Caixa 2026 CTR]]</f>
        <v>0</v>
      </c>
      <c r="C308" s="80"/>
      <c r="D308" s="450" t="str">
        <f t="shared" si="33"/>
        <v>0,00%</v>
      </c>
      <c r="E308" s="329" t="e">
        <f>#REF!</f>
        <v>#REF!</v>
      </c>
      <c r="F308"/>
      <c r="I308" s="246"/>
      <c r="J308" s="246"/>
    </row>
    <row r="309" spans="2:10" hidden="1" x14ac:dyDescent="0.25">
      <c r="B309" s="449">
        <f>Fluxo_de_Caixa_Janeiro[[#This Row],[Fluxo de Caixa 2026 CTR]]</f>
        <v>0</v>
      </c>
      <c r="C309" s="80"/>
      <c r="D309" s="450" t="str">
        <f t="shared" si="33"/>
        <v>0,00%</v>
      </c>
      <c r="E309" s="329" t="e">
        <f>#REF!</f>
        <v>#REF!</v>
      </c>
      <c r="F309"/>
      <c r="I309" s="246"/>
      <c r="J309" s="246"/>
    </row>
    <row r="310" spans="2:10" hidden="1" x14ac:dyDescent="0.25">
      <c r="B310" s="449">
        <f>Fluxo_de_Caixa_Janeiro[[#This Row],[Fluxo de Caixa 2026 CTR]]</f>
        <v>0</v>
      </c>
      <c r="C310" s="80"/>
      <c r="D310" s="450" t="str">
        <f t="shared" si="33"/>
        <v>0,00%</v>
      </c>
      <c r="E310" s="329" t="e">
        <f>#REF!</f>
        <v>#REF!</v>
      </c>
      <c r="F310"/>
      <c r="I310" s="246"/>
      <c r="J310" s="246"/>
    </row>
    <row r="311" spans="2:10" hidden="1" x14ac:dyDescent="0.25">
      <c r="B311" s="449">
        <f>Fluxo_de_Caixa_Janeiro[[#This Row],[Fluxo de Caixa 2026 CTR]]</f>
        <v>0</v>
      </c>
      <c r="C311" s="80"/>
      <c r="D311" s="450" t="str">
        <f t="shared" si="33"/>
        <v>0,00%</v>
      </c>
      <c r="E311" s="329" t="e">
        <f>#REF!</f>
        <v>#REF!</v>
      </c>
      <c r="F311"/>
      <c r="I311" s="246"/>
      <c r="J311" s="246"/>
    </row>
    <row r="312" spans="2:10" hidden="1" x14ac:dyDescent="0.25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25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25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.75" x14ac:dyDescent="0.3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25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5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25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0</v>
      </c>
      <c r="D317" s="450" t="str">
        <f t="shared" si="35"/>
        <v>0,00%</v>
      </c>
      <c r="E317" s="329" t="e">
        <f>#REF!</f>
        <v>#REF!</v>
      </c>
      <c r="F317"/>
      <c r="I317" s="246"/>
      <c r="J317" s="246"/>
    </row>
    <row r="318" spans="2:10" x14ac:dyDescent="0.25">
      <c r="B318" s="449" t="str">
        <f>Fluxo_de_Caixa_Janeiro[[#This Row],[Fluxo de Caixa 2026 CTR]]</f>
        <v>5.3.03.EQUIP. INFORMATICA IMOBILIZADOS</v>
      </c>
      <c r="C318" s="62">
        <f t="shared" si="36"/>
        <v>0</v>
      </c>
      <c r="D318" s="450" t="str">
        <f t="shared" si="35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25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 t="str">
        <f t="shared" si="35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25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 t="str">
        <f t="shared" si="35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25">
      <c r="B321" s="449">
        <f>Fluxo_de_Caixa_Janeiro[[#This Row],[Fluxo de Caixa 2026 CTR]]</f>
        <v>0</v>
      </c>
      <c r="C321" s="80"/>
      <c r="D321" s="450" t="str">
        <f t="shared" si="35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.75" x14ac:dyDescent="0.3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25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7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25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7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25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7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25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7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25">
      <c r="B327" s="449">
        <f>Fluxo_de_Caixa_Janeiro[[#This Row],[Fluxo de Caixa 2026 CTR]]</f>
        <v>0</v>
      </c>
      <c r="C327" s="80"/>
      <c r="D327" s="450" t="str">
        <f t="shared" si="37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25">
      <c r="B328" s="449">
        <f>Fluxo_de_Caixa_Janeiro[[#This Row],[Fluxo de Caixa 2026 CTR]]</f>
        <v>0</v>
      </c>
      <c r="C328" s="80"/>
      <c r="D328" s="450" t="str">
        <f t="shared" si="37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25">
      <c r="B329" s="449">
        <f>Fluxo_de_Caixa_Janeiro[[#This Row],[Fluxo de Caixa 2026 CTR]]</f>
        <v>0</v>
      </c>
      <c r="C329" s="80"/>
      <c r="D329" s="450" t="str">
        <f t="shared" si="37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4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35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149999999999999" customHeight="1" thickBot="1" x14ac:dyDescent="0.35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75" thickBot="1" x14ac:dyDescent="0.35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75" thickBot="1" x14ac:dyDescent="0.3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7" thickBot="1" x14ac:dyDescent="0.45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25" x14ac:dyDescent="0.3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SUM(D337:D360)</f>
        <v>0</v>
      </c>
      <c r="E336" s="336">
        <v>1</v>
      </c>
      <c r="F336" s="34"/>
      <c r="I336" s="246"/>
    </row>
    <row r="337" spans="2:9" x14ac:dyDescent="0.25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>
        <f>H333+I333+J333</f>
        <v>0</v>
      </c>
    </row>
    <row r="338" spans="2:9" x14ac:dyDescent="0.25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8">IFERROR(C338/$C$336,"0,00%")</f>
        <v>0,00%</v>
      </c>
      <c r="E338" s="337">
        <v>0.33251761890884102</v>
      </c>
      <c r="F338" s="34"/>
      <c r="H338" s="246">
        <f t="shared" ref="H338:H360" si="39">C4</f>
        <v>0</v>
      </c>
      <c r="I338" s="246"/>
    </row>
    <row r="339" spans="2:9" hidden="1" x14ac:dyDescent="0.25">
      <c r="B339" s="413">
        <f>Fluxo_de_Caixa_Janeiro[[#This Row],[Fluxo de Caixa 2026 CTR]]</f>
        <v>0</v>
      </c>
      <c r="C339" s="62"/>
      <c r="D339" s="414" t="str">
        <f t="shared" si="38"/>
        <v>0,00%</v>
      </c>
      <c r="E339" s="337">
        <v>0.31943681701513732</v>
      </c>
      <c r="F339" s="34"/>
      <c r="H339" s="246">
        <f t="shared" si="39"/>
        <v>0</v>
      </c>
      <c r="I339" s="246"/>
    </row>
    <row r="340" spans="2:9" x14ac:dyDescent="0.25">
      <c r="B340" s="413" t="str">
        <f>Fluxo_de_Caixa_Janeiro[[#This Row],[Fluxo de Caixa 2026 CTR]]</f>
        <v>1.2-BRADESCO 15232-3 MATRIZ</v>
      </c>
      <c r="C340" s="62"/>
      <c r="D340" s="414" t="str">
        <f t="shared" si="38"/>
        <v>0,00%</v>
      </c>
      <c r="E340" s="337">
        <v>0</v>
      </c>
      <c r="F340" s="34"/>
      <c r="H340" s="246">
        <f t="shared" si="39"/>
        <v>0</v>
      </c>
      <c r="I340" s="246"/>
    </row>
    <row r="341" spans="2:9" x14ac:dyDescent="0.25">
      <c r="B341" s="413">
        <f>Fluxo_de_Caixa_Janeiro[[#This Row],[Fluxo de Caixa 2026 CTR]]</f>
        <v>0</v>
      </c>
      <c r="C341" s="62"/>
      <c r="D341" s="414" t="str">
        <f t="shared" si="38"/>
        <v>0,00%</v>
      </c>
      <c r="E341" s="337">
        <v>1.4395773294013838E-2</v>
      </c>
      <c r="F341" s="34"/>
      <c r="H341" s="246">
        <f t="shared" si="39"/>
        <v>0</v>
      </c>
      <c r="I341" s="246"/>
    </row>
    <row r="342" spans="2:9" x14ac:dyDescent="0.25">
      <c r="B342" s="413" t="str">
        <f>Fluxo_de_Caixa_Janeiro[[#This Row],[Fluxo de Caixa 2026 CTR]]</f>
        <v>1.3 - BANCO STONE MATRIZ C.C 40256726-7</v>
      </c>
      <c r="C342" s="62"/>
      <c r="D342" s="414" t="str">
        <f t="shared" si="38"/>
        <v>0,00%</v>
      </c>
      <c r="E342" s="337">
        <v>1.1641126229335877E-2</v>
      </c>
      <c r="F342" s="34"/>
      <c r="H342" s="246">
        <f>C8</f>
        <v>0</v>
      </c>
      <c r="I342" s="246"/>
    </row>
    <row r="343" spans="2:9" x14ac:dyDescent="0.25">
      <c r="B343" s="413" t="str">
        <f>Fluxo_de_Caixa_Janeiro[[#This Row],[Fluxo de Caixa 2026 CTR]]</f>
        <v>1.4 - BANCO DA AMAZONIA 071730-7 MATRIZ</v>
      </c>
      <c r="C343" s="62"/>
      <c r="D343" s="414" t="str">
        <f t="shared" si="38"/>
        <v>0,00%</v>
      </c>
      <c r="E343" s="337">
        <v>2.4641733370120961E-2</v>
      </c>
      <c r="F343" s="34"/>
      <c r="H343" s="246">
        <f t="shared" si="39"/>
        <v>0</v>
      </c>
      <c r="I343" s="246"/>
    </row>
    <row r="344" spans="2:9" x14ac:dyDescent="0.25">
      <c r="B344" s="413" t="str">
        <f>Fluxo_de_Caixa_Janeiro[[#This Row],[Fluxo de Caixa 2026 CTR]]</f>
        <v>1.4.1.INVESTIMENTO CDBORE RCP TXFL</v>
      </c>
      <c r="C344" s="62"/>
      <c r="D344" s="414" t="str">
        <f t="shared" si="38"/>
        <v>0,00%</v>
      </c>
      <c r="E344" s="337">
        <v>0</v>
      </c>
      <c r="F344" s="34"/>
      <c r="H344" s="246">
        <f t="shared" si="39"/>
        <v>0</v>
      </c>
      <c r="I344" s="246"/>
    </row>
    <row r="345" spans="2:9" x14ac:dyDescent="0.25">
      <c r="B345" s="413" t="str">
        <f>Fluxo_de_Caixa_Janeiro[[#This Row],[Fluxo de Caixa 2026 CTR]]</f>
        <v>1.5 -  ITAU C.C.98671-6 MATRIZ</v>
      </c>
      <c r="C345" s="62"/>
      <c r="D345" s="414" t="str">
        <f t="shared" si="38"/>
        <v>0,00%</v>
      </c>
      <c r="E345" s="617" t="e">
        <f>#REF!</f>
        <v>#REF!</v>
      </c>
      <c r="F345" s="34"/>
      <c r="H345" s="246">
        <f t="shared" si="39"/>
        <v>0</v>
      </c>
      <c r="I345" s="246"/>
    </row>
    <row r="346" spans="2:9" x14ac:dyDescent="0.25">
      <c r="B346" s="413" t="str">
        <f>Fluxo_de_Caixa_Janeiro[[#This Row],[Fluxo de Caixa 2026 CTR]]</f>
        <v>1.5.03. ITAU C.C 83290-2 GARANTIDA</v>
      </c>
      <c r="C346" s="62"/>
      <c r="D346" s="414" t="str">
        <f t="shared" si="38"/>
        <v>0,00%</v>
      </c>
      <c r="E346" s="617" t="e">
        <f>#REF!</f>
        <v>#REF!</v>
      </c>
      <c r="F346" s="34"/>
      <c r="H346" s="246">
        <f t="shared" si="39"/>
        <v>0</v>
      </c>
      <c r="I346" s="246"/>
    </row>
    <row r="347" spans="2:9" x14ac:dyDescent="0.25">
      <c r="B347" s="413" t="str">
        <f>Fluxo_de_Caixa_Janeiro[[#This Row],[Fluxo de Caixa 2026 CTR]]</f>
        <v>1.9 - CONTA PERDA/ROUBO/BONIFICAÇÃO E DOAÇÃO</v>
      </c>
      <c r="C347" s="62"/>
      <c r="D347" s="414" t="str">
        <f t="shared" si="38"/>
        <v>0,00%</v>
      </c>
      <c r="E347" s="617" t="e">
        <f>#REF!</f>
        <v>#REF!</v>
      </c>
      <c r="F347" s="34"/>
      <c r="H347" s="246">
        <f t="shared" si="39"/>
        <v>0</v>
      </c>
      <c r="I347" s="246"/>
    </row>
    <row r="348" spans="2:9" x14ac:dyDescent="0.25">
      <c r="B348" s="413">
        <f>Fluxo_de_Caixa_Janeiro[[#This Row],[Fluxo de Caixa 2026 CTR]]</f>
        <v>0</v>
      </c>
      <c r="C348" s="62"/>
      <c r="D348" s="414" t="str">
        <f t="shared" si="38"/>
        <v>0,00%</v>
      </c>
      <c r="E348" s="617" t="e">
        <f>#REF!</f>
        <v>#REF!</v>
      </c>
      <c r="F348" s="34"/>
      <c r="H348" s="246">
        <f t="shared" si="39"/>
        <v>0</v>
      </c>
      <c r="I348" s="246"/>
    </row>
    <row r="349" spans="2:9" x14ac:dyDescent="0.25">
      <c r="B349" s="413" t="str">
        <f>Fluxo_de_Caixa_Janeiro[[#This Row],[Fluxo de Caixa 2026 CTR]]</f>
        <v>2.1 - BANCO DO BRASIL C.C.60638-3 FILIAL PALMAS</v>
      </c>
      <c r="C349" s="62"/>
      <c r="D349" s="414" t="str">
        <f t="shared" si="38"/>
        <v>0,00%</v>
      </c>
      <c r="E349" s="617" t="e">
        <f>#REF!</f>
        <v>#REF!</v>
      </c>
      <c r="F349" s="34"/>
      <c r="H349" s="246">
        <f t="shared" si="39"/>
        <v>0</v>
      </c>
      <c r="I349" s="246"/>
    </row>
    <row r="350" spans="2:9" x14ac:dyDescent="0.25">
      <c r="B350" s="413">
        <f>Fluxo_de_Caixa_Janeiro[[#This Row],[Fluxo de Caixa 2026 CTR]]</f>
        <v>0</v>
      </c>
      <c r="C350" s="62"/>
      <c r="D350" s="414" t="str">
        <f t="shared" si="38"/>
        <v>0,00%</v>
      </c>
      <c r="E350" s="617" t="e">
        <f>#REF!</f>
        <v>#REF!</v>
      </c>
      <c r="F350" s="34"/>
      <c r="H350" s="246">
        <f t="shared" si="39"/>
        <v>0</v>
      </c>
      <c r="I350" s="246"/>
    </row>
    <row r="351" spans="2:9" x14ac:dyDescent="0.25">
      <c r="B351" s="413">
        <f>Fluxo_de_Caixa_Janeiro[[#This Row],[Fluxo de Caixa 2026 CTR]]</f>
        <v>0</v>
      </c>
      <c r="C351" s="62"/>
      <c r="D351" s="414" t="str">
        <f t="shared" si="38"/>
        <v>0,00%</v>
      </c>
      <c r="E351" s="617" t="e">
        <f>#REF!</f>
        <v>#REF!</v>
      </c>
      <c r="F351" s="34"/>
      <c r="H351" s="246">
        <f t="shared" si="39"/>
        <v>0</v>
      </c>
      <c r="I351" s="246"/>
    </row>
    <row r="352" spans="2:9" x14ac:dyDescent="0.25">
      <c r="B352" s="413" t="str">
        <f>Fluxo_de_Caixa_Janeiro[[#This Row],[Fluxo de Caixa 2026 CTR]]</f>
        <v>2.4 - ITAU C.C.98669-0 FILIAL PALMAS</v>
      </c>
      <c r="C352" s="62"/>
      <c r="D352" s="414" t="str">
        <f t="shared" si="38"/>
        <v>0,00%</v>
      </c>
      <c r="E352" s="617" t="e">
        <f>#REF!</f>
        <v>#REF!</v>
      </c>
      <c r="F352" s="34"/>
      <c r="H352" s="246">
        <f t="shared" si="39"/>
        <v>0</v>
      </c>
      <c r="I352" s="246"/>
    </row>
    <row r="353" spans="2:9" x14ac:dyDescent="0.25">
      <c r="B353" s="413" t="str">
        <f>Fluxo_de_Caixa_Janeiro[[#This Row],[Fluxo de Caixa 2026 CTR]]</f>
        <v>2.9 - CONTA PERDA/ROUBO E BONIFICAÇÃO FILIAL</v>
      </c>
      <c r="C353" s="62"/>
      <c r="D353" s="414" t="str">
        <f t="shared" si="38"/>
        <v>0,00%</v>
      </c>
      <c r="E353" s="337">
        <v>0</v>
      </c>
      <c r="F353" s="34"/>
      <c r="H353" s="246">
        <f t="shared" si="39"/>
        <v>0</v>
      </c>
      <c r="I353" s="246"/>
    </row>
    <row r="354" spans="2:9" x14ac:dyDescent="0.25">
      <c r="B354" s="413" t="str">
        <f>Fluxo_de_Caixa_Janeiro[[#This Row],[Fluxo de Caixa 2026 CTR]]</f>
        <v>4.0 - TESOURARIA FILIAL PORTO</v>
      </c>
      <c r="C354" s="62"/>
      <c r="D354" s="414" t="str">
        <f t="shared" si="38"/>
        <v>0,00%</v>
      </c>
      <c r="E354" s="337">
        <v>0</v>
      </c>
      <c r="F354" s="34"/>
      <c r="H354" s="246">
        <f t="shared" si="39"/>
        <v>0</v>
      </c>
      <c r="I354" s="246"/>
    </row>
    <row r="355" spans="2:9" x14ac:dyDescent="0.25">
      <c r="B355" s="413" t="str">
        <f>Fluxo_de_Caixa_Janeiro[[#This Row],[Fluxo de Caixa 2026 CTR]]</f>
        <v>4.1 -  BANCO DO BRASIL C.C.61105-0 FILIAL PORTO</v>
      </c>
      <c r="C355" s="62"/>
      <c r="D355" s="414" t="str">
        <f t="shared" si="38"/>
        <v>0,00%</v>
      </c>
      <c r="E355" s="337">
        <v>4.031448971430979E-3</v>
      </c>
      <c r="H355" s="246">
        <f t="shared" si="39"/>
        <v>0</v>
      </c>
      <c r="I355" s="246"/>
    </row>
    <row r="356" spans="2:9" x14ac:dyDescent="0.25">
      <c r="B356" s="413">
        <f>Fluxo_de_Caixa_Janeiro[[#This Row],[Fluxo de Caixa 2026 CTR]]</f>
        <v>0</v>
      </c>
      <c r="C356" s="62"/>
      <c r="D356" s="414" t="str">
        <f t="shared" si="38"/>
        <v>0,00%</v>
      </c>
      <c r="E356" s="337" t="e">
        <f>#REF!</f>
        <v>#REF!</v>
      </c>
      <c r="H356" s="246">
        <f t="shared" si="39"/>
        <v>0</v>
      </c>
      <c r="I356" s="246"/>
    </row>
    <row r="357" spans="2:9" x14ac:dyDescent="0.25">
      <c r="B357" s="413" t="str">
        <f>Fluxo_de_Caixa_Janeiro[[#This Row],[Fluxo de Caixa 2026 CTR]]</f>
        <v>4.4 - MERCADO PAGO PIX FILIAL PORTO</v>
      </c>
      <c r="C357" s="62"/>
      <c r="D357" s="414" t="str">
        <f t="shared" si="38"/>
        <v>0,00%</v>
      </c>
      <c r="E357" s="337" t="e">
        <f>#REF!</f>
        <v>#REF!</v>
      </c>
      <c r="H357" s="246">
        <f t="shared" si="39"/>
        <v>0</v>
      </c>
      <c r="I357" s="246"/>
    </row>
    <row r="358" spans="2:9" x14ac:dyDescent="0.25">
      <c r="B358" s="413" t="str">
        <f>Fluxo_de_Caixa_Janeiro[[#This Row],[Fluxo de Caixa 2026 CTR]]</f>
        <v>4.9 - CONTA PERDA/ROUBO E BONIFICAÇÃO FILIAL</v>
      </c>
      <c r="C358" s="62"/>
      <c r="D358" s="414" t="str">
        <f t="shared" si="38"/>
        <v>0,00%</v>
      </c>
      <c r="E358" s="337" t="e">
        <f>#REF!</f>
        <v>#REF!</v>
      </c>
      <c r="H358" s="246">
        <f t="shared" si="39"/>
        <v>0</v>
      </c>
      <c r="I358" s="246"/>
    </row>
    <row r="359" spans="2:9" x14ac:dyDescent="0.25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8"/>
        <v>0,00%</v>
      </c>
      <c r="E359" s="617" t="e">
        <f>#REF!</f>
        <v>#REF!</v>
      </c>
      <c r="H359" s="246">
        <f>C25</f>
        <v>0</v>
      </c>
      <c r="I359" s="246"/>
    </row>
    <row r="360" spans="2:9" hidden="1" x14ac:dyDescent="0.25">
      <c r="B360" s="413">
        <f>Fluxo_de_Caixa_Janeiro[[#This Row],[Fluxo de Caixa 2026 CTR]]</f>
        <v>0</v>
      </c>
      <c r="C360" s="62">
        <v>0</v>
      </c>
      <c r="D360" s="414" t="str">
        <f t="shared" si="38"/>
        <v>0,00%</v>
      </c>
      <c r="E360" s="337" t="e">
        <f>#REF!</f>
        <v>#REF!</v>
      </c>
      <c r="H360" s="246">
        <f t="shared" si="39"/>
        <v>0</v>
      </c>
      <c r="I360" s="246"/>
    </row>
    <row r="361" spans="2:9" ht="24" thickBot="1" x14ac:dyDescent="0.4">
      <c r="B361" s="463"/>
      <c r="C361" s="464">
        <f>SUM(C337:C360)-C335</f>
        <v>0</v>
      </c>
      <c r="D361" s="465" t="str">
        <f>IFERROR(C361/C336,"0,00%")</f>
        <v>0,00%</v>
      </c>
      <c r="E361" s="338" t="e">
        <f>#REF!</f>
        <v>#REF!</v>
      </c>
      <c r="I361" s="246"/>
    </row>
    <row r="362" spans="2:9" x14ac:dyDescent="0.25">
      <c r="I362">
        <v>33580.36</v>
      </c>
    </row>
    <row r="363" spans="2:9" x14ac:dyDescent="0.25">
      <c r="C363" s="404">
        <f>SUM(C337:C346,C348:C357,C359)</f>
        <v>0</v>
      </c>
      <c r="I363" s="287">
        <f>I362-H338</f>
        <v>33580.36</v>
      </c>
    </row>
    <row r="364" spans="2:9" x14ac:dyDescent="0.25"/>
    <row r="365" spans="2:9" x14ac:dyDescent="0.25"/>
    <row r="366" spans="2:9" x14ac:dyDescent="0.25"/>
    <row r="367" spans="2:9" x14ac:dyDescent="0.25"/>
    <row r="369" x14ac:dyDescent="0.25"/>
    <row r="370" x14ac:dyDescent="0.25"/>
    <row r="372" x14ac:dyDescent="0.25"/>
    <row r="373" x14ac:dyDescent="0.25"/>
    <row r="374" x14ac:dyDescent="0.25"/>
    <row r="376" x14ac:dyDescent="0.25"/>
    <row r="377" x14ac:dyDescent="0.25"/>
    <row r="378" x14ac:dyDescent="0.25"/>
    <row r="379" x14ac:dyDescent="0.25"/>
    <row r="381" x14ac:dyDescent="0.25"/>
    <row r="382" x14ac:dyDescent="0.25"/>
    <row r="383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2" x14ac:dyDescent="0.25"/>
    <row r="393" x14ac:dyDescent="0.25"/>
    <row r="394" x14ac:dyDescent="0.25"/>
    <row r="395" x14ac:dyDescent="0.25"/>
    <row r="397" x14ac:dyDescent="0.25"/>
    <row r="398" x14ac:dyDescent="0.25"/>
    <row r="399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8" x14ac:dyDescent="0.25"/>
    <row r="409" x14ac:dyDescent="0.25"/>
    <row r="410" x14ac:dyDescent="0.25"/>
    <row r="411" x14ac:dyDescent="0.25"/>
  </sheetData>
  <protectedRanges>
    <protectedRange sqref="C344:C360" name="Saldo Final de Banco"/>
    <protectedRange sqref="C3:C26" name="Intervalo1"/>
    <protectedRange sqref="C337:C343" name="Saldo Final de Banco_1"/>
  </protectedRanges>
  <conditionalFormatting sqref="C86">
    <cfRule type="cellIs" dxfId="132" priority="1" operator="lessThan">
      <formula>0</formula>
    </cfRule>
  </conditionalFormatting>
  <conditionalFormatting sqref="C237">
    <cfRule type="cellIs" dxfId="131" priority="2" operator="greaterThan">
      <formula>0</formula>
    </cfRule>
    <cfRule type="cellIs" dxfId="130" priority="3" operator="lessThan">
      <formula>0</formula>
    </cfRule>
    <cfRule type="cellIs" dxfId="129" priority="4" operator="greaterThan">
      <formula>0</formula>
    </cfRule>
  </conditionalFormatting>
  <conditionalFormatting sqref="C334">
    <cfRule type="cellIs" dxfId="128" priority="5" operator="lessThan">
      <formula>0</formula>
    </cfRule>
    <cfRule type="cellIs" dxfId="127" priority="6" operator="greaterThan">
      <formula>0</formula>
    </cfRule>
  </conditionalFormatting>
  <conditionalFormatting sqref="C335">
    <cfRule type="cellIs" dxfId="126" priority="7" operator="lessThan">
      <formula>0</formula>
    </cfRule>
    <cfRule type="cellIs" dxfId="125" priority="8" operator="greaterThan">
      <formula>0.001</formula>
    </cfRule>
    <cfRule type="cellIs" dxfId="124" priority="9" operator="lessThan">
      <formula>0</formula>
    </cfRule>
    <cfRule type="cellIs" dxfId="123" priority="10" operator="greaterThan">
      <formula>0</formula>
    </cfRule>
    <cfRule type="aboveAverage" dxfId="122" priority="11" aboveAverage="0"/>
  </conditionalFormatting>
  <conditionalFormatting sqref="D86">
    <cfRule type="cellIs" dxfId="121" priority="39" operator="lessThan">
      <formula>0</formula>
    </cfRule>
  </conditionalFormatting>
  <conditionalFormatting sqref="D237 D334">
    <cfRule type="cellIs" dxfId="120" priority="55" operator="greaterThan">
      <formula>0</formula>
    </cfRule>
  </conditionalFormatting>
  <conditionalFormatting sqref="D237">
    <cfRule type="cellIs" dxfId="119" priority="50" operator="lessThan">
      <formula>0</formula>
    </cfRule>
    <cfRule type="cellIs" dxfId="118" priority="49" operator="greaterThan">
      <formula>0</formula>
    </cfRule>
  </conditionalFormatting>
  <conditionalFormatting sqref="D334">
    <cfRule type="cellIs" dxfId="117" priority="54" operator="lessThan">
      <formula>0</formula>
    </cfRule>
  </conditionalFormatting>
  <conditionalFormatting sqref="D335">
    <cfRule type="cellIs" dxfId="116" priority="53" operator="greaterThan">
      <formula>0</formula>
    </cfRule>
    <cfRule type="cellIs" dxfId="115" priority="52" operator="lessThan">
      <formula>0</formula>
    </cfRule>
    <cfRule type="cellIs" dxfId="114" priority="48" operator="greaterThan">
      <formula>0</formula>
    </cfRule>
    <cfRule type="aboveAverage" dxfId="113" priority="59" aboveAverage="0"/>
  </conditionalFormatting>
  <conditionalFormatting sqref="E86">
    <cfRule type="cellIs" dxfId="112" priority="28" operator="lessThan">
      <formula>0</formula>
    </cfRule>
  </conditionalFormatting>
  <conditionalFormatting sqref="E237 E334">
    <cfRule type="cellIs" dxfId="111" priority="36" operator="greaterThan">
      <formula>0</formula>
    </cfRule>
  </conditionalFormatting>
  <conditionalFormatting sqref="E237">
    <cfRule type="cellIs" dxfId="110" priority="31" operator="lessThan">
      <formula>0</formula>
    </cfRule>
    <cfRule type="cellIs" dxfId="109" priority="30" operator="greaterThan">
      <formula>0</formula>
    </cfRule>
  </conditionalFormatting>
  <conditionalFormatting sqref="E334">
    <cfRule type="cellIs" dxfId="108" priority="35" operator="lessThan">
      <formula>0</formula>
    </cfRule>
  </conditionalFormatting>
  <conditionalFormatting sqref="E335">
    <cfRule type="cellIs" dxfId="107" priority="34" operator="greaterThan">
      <formula>0</formula>
    </cfRule>
    <cfRule type="aboveAverage" dxfId="106" priority="38" aboveAverage="0"/>
    <cfRule type="cellIs" dxfId="105" priority="29" operator="greaterThan">
      <formula>0</formula>
    </cfRule>
    <cfRule type="cellIs" dxfId="104" priority="33" operator="lessThan">
      <formula>0</formula>
    </cfRule>
  </conditionalFormatting>
  <conditionalFormatting sqref="F27:F28 F48 F87 F272 F331:F335">
    <cfRule type="containsText" dxfId="103" priority="62" operator="containsText" text="FALSO">
      <formula>NOT(ISERROR(SEARCH("FALSO",F27)))</formula>
    </cfRule>
    <cfRule type="containsText" dxfId="102" priority="63" operator="containsText" text="VERDADEIRO">
      <formula>NOT(ISERROR(SEARCH("VERDADEIRO",F27)))</formula>
    </cfRule>
  </conditionalFormatting>
  <conditionalFormatting sqref="F27:F28 F272 F87 F48 F331:F335">
    <cfRule type="iconSet" priority="60">
      <iconSet iconSet="3Arrows">
        <cfvo type="percent" val="0"/>
        <cfvo type="percent" val="$F$27&lt;=0"/>
        <cfvo type="percent" val="$F$27&gt;=0"/>
      </iconSet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4">
      <iconSet iconSet="3Arrows">
        <cfvo type="percent" val="0"/>
        <cfvo type="percent" val="0"/>
        <cfvo type="percent" val="0"/>
      </iconSet>
    </cfRule>
    <cfRule type="iconSet" priority="65">
      <iconSet>
        <cfvo type="percent" val="0"/>
        <cfvo type="percent" val="33"/>
        <cfvo type="percent" val="67"/>
      </iconSet>
    </cfRule>
  </conditionalFormatting>
  <conditionalFormatting sqref="F29:F47">
    <cfRule type="containsText" dxfId="101" priority="25" operator="containsText" text="Verd">
      <formula>NOT(ISERROR(SEARCH("Verd",F29)))</formula>
    </cfRule>
    <cfRule type="containsText" dxfId="100" priority="24" operator="containsText" text="Fals">
      <formula>NOT(ISERROR(SEARCH("Fals",F29)))</formula>
    </cfRule>
  </conditionalFormatting>
  <conditionalFormatting sqref="F49:F86">
    <cfRule type="containsText" dxfId="99" priority="19" operator="containsText" text="Verd">
      <formula>NOT(ISERROR(SEARCH("Verd",F49)))</formula>
    </cfRule>
    <cfRule type="containsText" dxfId="98" priority="18" operator="containsText" text="Fals">
      <formula>NOT(ISERROR(SEARCH("Fals",F49)))</formula>
    </cfRule>
  </conditionalFormatting>
  <conditionalFormatting sqref="F88:F271">
    <cfRule type="containsText" dxfId="97" priority="27" operator="containsText" text="Verd">
      <formula>NOT(ISERROR(SEARCH("Verd",F88)))</formula>
    </cfRule>
    <cfRule type="containsText" dxfId="96" priority="26" operator="containsText" text="Fals">
      <formula>NOT(ISERROR(SEARCH("Fals",F88)))</formula>
    </cfRule>
  </conditionalFormatting>
  <conditionalFormatting sqref="F273:F330">
    <cfRule type="containsText" dxfId="95" priority="17" operator="containsText" text="Verd">
      <formula>NOT(ISERROR(SEARCH("Verd",F273)))</formula>
    </cfRule>
    <cfRule type="containsText" dxfId="94" priority="16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3" fitToWidth="3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C760-7C35-4440-8839-903C304FBBA1}">
  <sheetPr>
    <tabColor rgb="FFFFFF00"/>
    <pageSetUpPr autoPageBreaks="0"/>
  </sheetPr>
  <dimension ref="A1:HM415"/>
  <sheetViews>
    <sheetView zoomScale="90" zoomScaleNormal="90" zoomScaleSheetLayoutView="100" workbookViewId="0">
      <pane xSplit="2" ySplit="1" topLeftCell="I178" activePane="bottomRight" state="frozen"/>
      <selection pane="topRight" activeCell="B1" sqref="B1"/>
      <selection pane="bottomLeft" activeCell="A2" sqref="A2"/>
      <selection pane="bottomRight" activeCell="B196" sqref="B196"/>
    </sheetView>
  </sheetViews>
  <sheetFormatPr defaultColWidth="0" defaultRowHeight="15" zeroHeight="1" x14ac:dyDescent="0.25"/>
  <cols>
    <col min="1" max="1" width="9.140625" hidden="1" customWidth="1"/>
    <col min="2" max="2" width="67.85546875" bestFit="1" customWidth="1"/>
    <col min="3" max="8" width="27.42578125" hidden="1" customWidth="1"/>
    <col min="9" max="12" width="27.42578125" customWidth="1"/>
    <col min="13" max="14" width="27.42578125" hidden="1" customWidth="1"/>
    <col min="15" max="15" width="30.5703125" style="246" bestFit="1" customWidth="1"/>
    <col min="16" max="16" width="15.5703125" style="6" bestFit="1" customWidth="1"/>
    <col min="17" max="17" width="15.5703125" style="9" customWidth="1"/>
    <col min="18" max="18" width="11.7109375" style="33" customWidth="1"/>
    <col min="19" max="19" width="13.140625" customWidth="1"/>
    <col min="20" max="20" width="13.7109375" customWidth="1"/>
    <col min="21" max="21" width="11.140625" customWidth="1"/>
    <col min="22" max="22" width="22.28515625" hidden="1" customWidth="1"/>
    <col min="23" max="23" width="20.140625" hidden="1" customWidth="1"/>
    <col min="24" max="24" width="24.7109375" hidden="1" customWidth="1"/>
    <col min="25" max="16384" width="9.140625" hidden="1"/>
  </cols>
  <sheetData>
    <row r="1" spans="1:18" ht="36.75" thickBot="1" x14ac:dyDescent="0.3">
      <c r="B1" s="408" t="s">
        <v>278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79" t="s">
        <v>279</v>
      </c>
      <c r="Q1" s="61" t="s">
        <v>168</v>
      </c>
      <c r="R1" s="30"/>
    </row>
    <row r="2" spans="1:18" s="1" customFormat="1" ht="24" thickBot="1" x14ac:dyDescent="0.4">
      <c r="A2" s="10" t="s">
        <v>52</v>
      </c>
      <c r="B2" s="46" t="str">
        <f>Fluxo_de_Caixa_Janeiro[[#This Row],[Fluxo de Caixa 2026 CTR]]</f>
        <v>Disponíveis Nas Contas Movimento inicial</v>
      </c>
      <c r="C2" s="156"/>
      <c r="D2" s="156"/>
      <c r="E2" s="156"/>
      <c r="F2" s="156"/>
      <c r="G2" s="156"/>
      <c r="H2" s="154"/>
      <c r="I2" s="156">
        <f>Fluxo_de_Caixa_Janeiro3459117[[#This Row],[JULHO]]</f>
        <v>0</v>
      </c>
      <c r="J2" s="156">
        <f>Fluxo_de_Caixa_Janeiro345911710[[#This Row],[AGOSTO]]</f>
        <v>0</v>
      </c>
      <c r="K2" s="156">
        <f>Fluxo_de_Caixa_Janeiro34591171012[[#This Row],[SETEMBRO]]</f>
        <v>0</v>
      </c>
      <c r="L2" s="156">
        <f>Fluxo_de_Caixa_Janeiro3459117101215[[#This Row],[OUTUBRO]]</f>
        <v>0</v>
      </c>
      <c r="M2" s="156">
        <f>Fluxo_de_Caixa_Janeiro345911710121516[[#This Row],[NOVEMBRO]]</f>
        <v>0</v>
      </c>
      <c r="N2" s="154">
        <f>Fluxo_de_Caixa_Janeiro34591171012151619[[#This Row],[DEZEMBRO]]</f>
        <v>0</v>
      </c>
      <c r="O2" s="207">
        <f>Fluxo_de_Caixa_Janeiro31020817[[#This Row],[Julho]]</f>
        <v>0</v>
      </c>
      <c r="P2" s="17">
        <f>SUM(P3:P17)</f>
        <v>0</v>
      </c>
      <c r="Q2" s="65"/>
      <c r="R2" s="31"/>
    </row>
    <row r="3" spans="1:18" x14ac:dyDescent="0.25">
      <c r="B3" s="47" t="str">
        <f>Fluxo_de_Caixa_Janeiro[[#This Row],[Fluxo de Caixa 2026 CTR]]</f>
        <v>1.0 - TESOURARIA MATRIZ PALMAS</v>
      </c>
      <c r="C3" s="259"/>
      <c r="D3" s="260"/>
      <c r="E3" s="260"/>
      <c r="F3" s="260"/>
      <c r="G3" s="260"/>
      <c r="H3" s="261"/>
      <c r="I3" s="298">
        <f>Fluxo_de_Caixa_Janeiro3459117[[#This Row],[JULHO]]</f>
        <v>0</v>
      </c>
      <c r="J3" s="260">
        <f>Fluxo_de_Caixa_Janeiro345911710[[#This Row],[AGOSTO]]</f>
        <v>0</v>
      </c>
      <c r="K3" s="260">
        <f>Fluxo_de_Caixa_Janeiro34591171012[[#This Row],[SETEMBRO]]</f>
        <v>0</v>
      </c>
      <c r="L3" s="260">
        <f>Fluxo_de_Caixa_Janeiro3459117101215[[#This Row],[OUTUBRO]]</f>
        <v>0</v>
      </c>
      <c r="M3" s="260">
        <f>Fluxo_de_Caixa_Janeiro345911710121516[[#This Row],[NOVEMBRO]]</f>
        <v>0</v>
      </c>
      <c r="N3" s="261">
        <f>Fluxo_de_Caixa_Janeiro34591171012151619[[#This Row],[DEZEMBRO]]</f>
        <v>0</v>
      </c>
      <c r="O3" s="208">
        <f>Fluxo_de_Caixa_Janeiro31020817[[#This Row],[Julho]]</f>
        <v>0</v>
      </c>
      <c r="P3" s="28" t="str">
        <f>IF(O3=0,"0,00%",O3/$O$2)</f>
        <v>0,00%</v>
      </c>
      <c r="Q3" s="66"/>
      <c r="R3" s="31"/>
    </row>
    <row r="4" spans="1:18" x14ac:dyDescent="0.25">
      <c r="B4" s="47" t="str">
        <f>Fluxo_de_Caixa_Janeiro[[#This Row],[Fluxo de Caixa 2026 CTR]]</f>
        <v>1.1 - BANCO DO BRASIL C.C.60409-7 MATRIZ</v>
      </c>
      <c r="C4" s="256"/>
      <c r="D4" s="262"/>
      <c r="E4" s="262"/>
      <c r="F4" s="262"/>
      <c r="G4" s="262"/>
      <c r="H4" s="263"/>
      <c r="I4" s="262">
        <f>Fluxo_de_Caixa_Janeiro3459117[[#This Row],[JULHO]]</f>
        <v>0</v>
      </c>
      <c r="J4" s="262">
        <f>Fluxo_de_Caixa_Janeiro345911710[[#This Row],[AGOSTO]]</f>
        <v>0</v>
      </c>
      <c r="K4" s="262">
        <f>Fluxo_de_Caixa_Janeiro34591171012[[#This Row],[SETEMBRO]]</f>
        <v>0</v>
      </c>
      <c r="L4" s="262">
        <f>Fluxo_de_Caixa_Janeiro3459117101215[[#This Row],[OUTUBRO]]</f>
        <v>0</v>
      </c>
      <c r="M4" s="262">
        <f>Fluxo_de_Caixa_Janeiro345911710121516[[#This Row],[NOVEMBRO]]</f>
        <v>0</v>
      </c>
      <c r="N4" s="263">
        <f>Fluxo_de_Caixa_Janeiro34591171012151619[[#This Row],[DEZEMBRO]]</f>
        <v>0</v>
      </c>
      <c r="O4" s="208">
        <f>Fluxo_de_Caixa_Janeiro31020817[[#This Row],[Julho]]</f>
        <v>0</v>
      </c>
      <c r="P4" s="138" t="str">
        <f t="shared" ref="P4:P26" si="0">IF(O4=0,"0,00%",O4/$O$2)</f>
        <v>0,00%</v>
      </c>
      <c r="Q4" s="66"/>
      <c r="R4" s="31"/>
    </row>
    <row r="5" spans="1:18" hidden="1" x14ac:dyDescent="0.25">
      <c r="B5" s="47">
        <f>Fluxo_de_Caixa_Janeiro[[#This Row],[Fluxo de Caixa 2026 CTR]]</f>
        <v>0</v>
      </c>
      <c r="C5" s="256"/>
      <c r="D5" s="262"/>
      <c r="E5" s="262"/>
      <c r="F5" s="262"/>
      <c r="G5" s="262"/>
      <c r="H5" s="263"/>
      <c r="I5" s="262">
        <f>Fluxo_de_Caixa_Janeiro3459117[[#This Row],[JULHO]]</f>
        <v>0</v>
      </c>
      <c r="J5" s="262">
        <f>Fluxo_de_Caixa_Janeiro345911710[[#This Row],[AGOSTO]]</f>
        <v>0</v>
      </c>
      <c r="K5" s="262">
        <f>Fluxo_de_Caixa_Janeiro34591171012[[#This Row],[SETEMBRO]]</f>
        <v>0</v>
      </c>
      <c r="L5" s="262">
        <f>Fluxo_de_Caixa_Janeiro3459117101215[[#This Row],[OUTUBRO]]</f>
        <v>0</v>
      </c>
      <c r="M5" s="262">
        <f>Fluxo_de_Caixa_Janeiro345911710121516[[#This Row],[NOVEMBRO]]</f>
        <v>0</v>
      </c>
      <c r="N5" s="263">
        <f>Fluxo_de_Caixa_Janeiro34591171012151619[[#This Row],[DEZEMBRO]]</f>
        <v>0</v>
      </c>
      <c r="O5" s="208">
        <f>Fluxo_de_Caixa_Janeiro31020817[[#This Row],[Julho]]</f>
        <v>0</v>
      </c>
      <c r="P5" s="138" t="str">
        <f t="shared" si="0"/>
        <v>0,00%</v>
      </c>
      <c r="Q5" s="66"/>
      <c r="R5" s="31"/>
    </row>
    <row r="6" spans="1:18" x14ac:dyDescent="0.25">
      <c r="B6" s="47" t="str">
        <f>Fluxo_de_Caixa_Janeiro[[#This Row],[Fluxo de Caixa 2026 CTR]]</f>
        <v>1.2-BRADESCO 15232-3 MATRIZ</v>
      </c>
      <c r="C6" s="256"/>
      <c r="D6" s="262"/>
      <c r="E6" s="262"/>
      <c r="F6" s="262"/>
      <c r="G6" s="262"/>
      <c r="H6" s="263"/>
      <c r="I6" s="262">
        <f>Fluxo_de_Caixa_Janeiro3459117[[#This Row],[JULHO]]</f>
        <v>0</v>
      </c>
      <c r="J6" s="262">
        <f>Fluxo_de_Caixa_Janeiro345911710[[#This Row],[AGOSTO]]</f>
        <v>0</v>
      </c>
      <c r="K6" s="262">
        <f>Fluxo_de_Caixa_Janeiro34591171012[[#This Row],[SETEMBRO]]</f>
        <v>0</v>
      </c>
      <c r="L6" s="262">
        <f>Fluxo_de_Caixa_Janeiro3459117101215[[#This Row],[OUTUBRO]]</f>
        <v>0</v>
      </c>
      <c r="M6" s="262">
        <f>Fluxo_de_Caixa_Janeiro345911710121516[[#This Row],[NOVEMBRO]]</f>
        <v>0</v>
      </c>
      <c r="N6" s="263">
        <f>Fluxo_de_Caixa_Janeiro34591171012151619[[#This Row],[DEZEMBRO]]</f>
        <v>0</v>
      </c>
      <c r="O6" s="208">
        <f>Fluxo_de_Caixa_Janeiro31020817[[#This Row],[Julho]]</f>
        <v>0</v>
      </c>
      <c r="P6" s="138" t="str">
        <f t="shared" si="0"/>
        <v>0,00%</v>
      </c>
      <c r="Q6" s="66"/>
      <c r="R6" s="31"/>
    </row>
    <row r="7" spans="1:18" x14ac:dyDescent="0.25">
      <c r="B7" s="47">
        <f>Fluxo_de_Caixa_Janeiro[[#This Row],[Fluxo de Caixa 2026 CTR]]</f>
        <v>0</v>
      </c>
      <c r="C7" s="256"/>
      <c r="D7" s="262"/>
      <c r="E7" s="262"/>
      <c r="F7" s="262"/>
      <c r="G7" s="262"/>
      <c r="H7" s="263"/>
      <c r="I7" s="262">
        <f>Fluxo_de_Caixa_Janeiro3459117[[#This Row],[JULHO]]</f>
        <v>0</v>
      </c>
      <c r="J7" s="262">
        <f>Fluxo_de_Caixa_Janeiro345911710[[#This Row],[AGOSTO]]</f>
        <v>0</v>
      </c>
      <c r="K7" s="262">
        <f>Fluxo_de_Caixa_Janeiro34591171012[[#This Row],[SETEMBRO]]</f>
        <v>0</v>
      </c>
      <c r="L7" s="262">
        <f>Fluxo_de_Caixa_Janeiro3459117101215[[#This Row],[OUTUBRO]]</f>
        <v>0</v>
      </c>
      <c r="M7" s="262">
        <f>Fluxo_de_Caixa_Janeiro345911710121516[[#This Row],[NOVEMBRO]]</f>
        <v>0</v>
      </c>
      <c r="N7" s="263">
        <f>Fluxo_de_Caixa_Janeiro34591171012151619[[#This Row],[DEZEMBRO]]</f>
        <v>0</v>
      </c>
      <c r="O7" s="208">
        <f>Fluxo_de_Caixa_Janeiro31020817[[#This Row],[Julho]]</f>
        <v>0</v>
      </c>
      <c r="P7" s="138" t="str">
        <f t="shared" si="0"/>
        <v>0,00%</v>
      </c>
      <c r="Q7" s="66"/>
      <c r="R7" s="31"/>
    </row>
    <row r="8" spans="1:18" x14ac:dyDescent="0.25">
      <c r="B8" s="47" t="str">
        <f>Fluxo_de_Caixa_Janeiro[[#This Row],[Fluxo de Caixa 2026 CTR]]</f>
        <v>1.3 - BANCO STONE MATRIZ C.C 40256726-7</v>
      </c>
      <c r="C8" s="256"/>
      <c r="D8" s="262"/>
      <c r="E8" s="262"/>
      <c r="F8" s="262"/>
      <c r="G8" s="262"/>
      <c r="H8" s="263"/>
      <c r="I8" s="262">
        <f>Fluxo_de_Caixa_Janeiro3459117[[#This Row],[JULHO]]</f>
        <v>0</v>
      </c>
      <c r="J8" s="262">
        <f>Fluxo_de_Caixa_Janeiro345911710[[#This Row],[AGOSTO]]</f>
        <v>0</v>
      </c>
      <c r="K8" s="262">
        <f>Fluxo_de_Caixa_Janeiro34591171012[[#This Row],[SETEMBRO]]</f>
        <v>0</v>
      </c>
      <c r="L8" s="262">
        <f>Fluxo_de_Caixa_Janeiro3459117101215[[#This Row],[OUTUBRO]]</f>
        <v>0</v>
      </c>
      <c r="M8" s="262">
        <f>Fluxo_de_Caixa_Janeiro345911710121516[[#This Row],[NOVEMBRO]]</f>
        <v>0</v>
      </c>
      <c r="N8" s="263">
        <f>Fluxo_de_Caixa_Janeiro34591171012151619[[#This Row],[DEZEMBRO]]</f>
        <v>0</v>
      </c>
      <c r="O8" s="208">
        <f>Fluxo_de_Caixa_Janeiro31020817[[#This Row],[Julho]]</f>
        <v>0</v>
      </c>
      <c r="P8" s="138" t="str">
        <f t="shared" si="0"/>
        <v>0,00%</v>
      </c>
      <c r="Q8" s="66"/>
      <c r="R8" s="31"/>
    </row>
    <row r="9" spans="1:18" hidden="1" x14ac:dyDescent="0.25">
      <c r="B9" s="47" t="str">
        <f>Fluxo_de_Caixa_Janeiro[[#This Row],[Fluxo de Caixa 2026 CTR]]</f>
        <v>1.4 - BANCO DA AMAZONIA 071730-7 MATRIZ</v>
      </c>
      <c r="C9" s="256"/>
      <c r="D9" s="262"/>
      <c r="E9" s="262"/>
      <c r="F9" s="262"/>
      <c r="G9" s="262"/>
      <c r="H9" s="263"/>
      <c r="I9" s="262">
        <f>Fluxo_de_Caixa_Janeiro3459117[[#This Row],[JULHO]]</f>
        <v>0</v>
      </c>
      <c r="J9" s="262">
        <f>Fluxo_de_Caixa_Janeiro345911710[[#This Row],[AGOSTO]]</f>
        <v>0</v>
      </c>
      <c r="K9" s="262">
        <f>Fluxo_de_Caixa_Janeiro34591171012[[#This Row],[SETEMBRO]]</f>
        <v>0</v>
      </c>
      <c r="L9" s="262">
        <f>Fluxo_de_Caixa_Janeiro3459117101215[[#This Row],[OUTUBRO]]</f>
        <v>0</v>
      </c>
      <c r="M9" s="262">
        <f>Fluxo_de_Caixa_Janeiro345911710121516[[#This Row],[NOVEMBRO]]</f>
        <v>0</v>
      </c>
      <c r="N9" s="263">
        <f>Fluxo_de_Caixa_Janeiro34591171012151619[[#This Row],[DEZEMBRO]]</f>
        <v>0</v>
      </c>
      <c r="O9" s="208">
        <f>Fluxo_de_Caixa_Janeiro31020817[[#This Row],[Julho]]</f>
        <v>0</v>
      </c>
      <c r="P9" s="138" t="str">
        <f t="shared" si="0"/>
        <v>0,00%</v>
      </c>
      <c r="Q9" s="66"/>
      <c r="R9" s="31"/>
    </row>
    <row r="10" spans="1:18" x14ac:dyDescent="0.25">
      <c r="B10" s="47" t="str">
        <f>Fluxo_de_Caixa_Janeiro[[#This Row],[Fluxo de Caixa 2026 CTR]]</f>
        <v>1.4.1.INVESTIMENTO CDBORE RCP TXFL</v>
      </c>
      <c r="C10" s="256"/>
      <c r="D10" s="262"/>
      <c r="E10" s="262"/>
      <c r="F10" s="262"/>
      <c r="G10" s="262"/>
      <c r="H10" s="263"/>
      <c r="I10" s="262">
        <f>Fluxo_de_Caixa_Janeiro3459117[[#This Row],[JULHO]]</f>
        <v>0</v>
      </c>
      <c r="J10" s="262">
        <f>Fluxo_de_Caixa_Janeiro345911710[[#This Row],[AGOSTO]]</f>
        <v>0</v>
      </c>
      <c r="K10" s="262">
        <f>Fluxo_de_Caixa_Janeiro34591171012[[#This Row],[SETEMBRO]]</f>
        <v>0</v>
      </c>
      <c r="L10" s="262">
        <f>Fluxo_de_Caixa_Janeiro3459117101215[[#This Row],[OUTUBRO]]</f>
        <v>0</v>
      </c>
      <c r="M10" s="262">
        <f>Fluxo_de_Caixa_Janeiro345911710121516[[#This Row],[NOVEMBRO]]</f>
        <v>0</v>
      </c>
      <c r="N10" s="263">
        <f>Fluxo_de_Caixa_Janeiro34591171012151619[[#This Row],[DEZEMBRO]]</f>
        <v>0</v>
      </c>
      <c r="O10" s="208">
        <f>Fluxo_de_Caixa_Janeiro31020817[[#This Row],[Julho]]</f>
        <v>0</v>
      </c>
      <c r="P10" s="138" t="str">
        <f t="shared" si="0"/>
        <v>0,00%</v>
      </c>
      <c r="Q10" s="66"/>
      <c r="R10" s="31"/>
    </row>
    <row r="11" spans="1:18" x14ac:dyDescent="0.25">
      <c r="B11" s="47" t="str">
        <f>Fluxo_de_Caixa_Janeiro[[#This Row],[Fluxo de Caixa 2026 CTR]]</f>
        <v>1.5 -  ITAU C.C.98671-6 MATRIZ</v>
      </c>
      <c r="C11" s="256"/>
      <c r="D11" s="262"/>
      <c r="E11" s="262"/>
      <c r="F11" s="262"/>
      <c r="G11" s="262"/>
      <c r="H11" s="263"/>
      <c r="I11" s="262">
        <f>Fluxo_de_Caixa_Janeiro3459117[[#This Row],[JULHO]]</f>
        <v>0</v>
      </c>
      <c r="J11" s="262">
        <f>Fluxo_de_Caixa_Janeiro345911710[[#This Row],[AGOSTO]]</f>
        <v>0</v>
      </c>
      <c r="K11" s="262">
        <f>Fluxo_de_Caixa_Janeiro34591171012[[#This Row],[SETEMBRO]]</f>
        <v>0</v>
      </c>
      <c r="L11" s="262">
        <f>Fluxo_de_Caixa_Janeiro3459117101215[[#This Row],[OUTUBRO]]</f>
        <v>0</v>
      </c>
      <c r="M11" s="262">
        <f>Fluxo_de_Caixa_Janeiro345911710121516[[#This Row],[NOVEMBRO]]</f>
        <v>0</v>
      </c>
      <c r="N11" s="263">
        <f>Fluxo_de_Caixa_Janeiro34591171012151619[[#This Row],[DEZEMBRO]]</f>
        <v>0</v>
      </c>
      <c r="O11" s="208">
        <f>Fluxo_de_Caixa_Janeiro31020817[[#This Row],[Julho]]</f>
        <v>0</v>
      </c>
      <c r="P11" s="138" t="str">
        <f t="shared" si="0"/>
        <v>0,00%</v>
      </c>
      <c r="Q11" s="66"/>
      <c r="R11" s="31"/>
    </row>
    <row r="12" spans="1:18" x14ac:dyDescent="0.25">
      <c r="B12" s="47" t="str">
        <f>Fluxo_de_Caixa_Janeiro[[#This Row],[Fluxo de Caixa 2026 CTR]]</f>
        <v>1.5.03. ITAU C.C 83290-2 GARANTIDA</v>
      </c>
      <c r="C12" s="256"/>
      <c r="D12" s="262"/>
      <c r="E12" s="262"/>
      <c r="F12" s="262"/>
      <c r="G12" s="262"/>
      <c r="H12" s="263"/>
      <c r="I12" s="262">
        <f>Fluxo_de_Caixa_Janeiro3459117[[#This Row],[JULHO]]</f>
        <v>0</v>
      </c>
      <c r="J12" s="262">
        <f>Fluxo_de_Caixa_Janeiro345911710[[#This Row],[AGOSTO]]</f>
        <v>0</v>
      </c>
      <c r="K12" s="262">
        <f>Fluxo_de_Caixa_Janeiro34591171012[[#This Row],[SETEMBRO]]</f>
        <v>0</v>
      </c>
      <c r="L12" s="262">
        <f>Fluxo_de_Caixa_Janeiro3459117101215[[#This Row],[OUTUBRO]]</f>
        <v>0</v>
      </c>
      <c r="M12" s="262">
        <f>Fluxo_de_Caixa_Janeiro345911710121516[[#This Row],[NOVEMBRO]]</f>
        <v>0</v>
      </c>
      <c r="N12" s="263">
        <f>Fluxo_de_Caixa_Janeiro34591171012151619[[#This Row],[DEZEMBRO]]</f>
        <v>0</v>
      </c>
      <c r="O12" s="208">
        <f>Fluxo_de_Caixa_Janeiro31020817[[#This Row],[Julho]]</f>
        <v>0</v>
      </c>
      <c r="P12" s="138" t="str">
        <f t="shared" si="0"/>
        <v>0,00%</v>
      </c>
      <c r="Q12" s="66"/>
      <c r="R12" s="31"/>
    </row>
    <row r="13" spans="1:18" x14ac:dyDescent="0.25">
      <c r="B13" s="47" t="str">
        <f>Fluxo_de_Caixa_Janeiro[[#This Row],[Fluxo de Caixa 2026 CTR]]</f>
        <v>1.9 - CONTA PERDA/ROUBO/BONIFICAÇÃO E DOAÇÃO</v>
      </c>
      <c r="C13" s="256"/>
      <c r="D13" s="262"/>
      <c r="E13" s="262"/>
      <c r="F13" s="262"/>
      <c r="G13" s="262"/>
      <c r="H13" s="263"/>
      <c r="I13" s="262">
        <f>Fluxo_de_Caixa_Janeiro3459117[[#This Row],[JULHO]]</f>
        <v>0</v>
      </c>
      <c r="J13" s="262">
        <f>Fluxo_de_Caixa_Janeiro345911710[[#This Row],[AGOSTO]]</f>
        <v>0</v>
      </c>
      <c r="K13" s="262">
        <f>Fluxo_de_Caixa_Janeiro34591171012[[#This Row],[SETEMBRO]]</f>
        <v>0</v>
      </c>
      <c r="L13" s="262">
        <f>Fluxo_de_Caixa_Janeiro3459117101215[[#This Row],[OUTUBRO]]</f>
        <v>0</v>
      </c>
      <c r="M13" s="262">
        <f>Fluxo_de_Caixa_Janeiro345911710121516[[#This Row],[NOVEMBRO]]</f>
        <v>0</v>
      </c>
      <c r="N13" s="263">
        <f>Fluxo_de_Caixa_Janeiro34591171012151619[[#This Row],[DEZEMBRO]]</f>
        <v>0</v>
      </c>
      <c r="O13" s="209">
        <f>SUM(Fluxo_de_Caixa_Janeiro31020817[[#This Row],[Janeiro]:[Dezembro]])</f>
        <v>0</v>
      </c>
      <c r="P13" s="138" t="str">
        <f t="shared" si="0"/>
        <v>0,00%</v>
      </c>
      <c r="Q13" s="66"/>
      <c r="R13" s="31"/>
    </row>
    <row r="14" spans="1:18" x14ac:dyDescent="0.25">
      <c r="B14" s="47">
        <f>Fluxo_de_Caixa_Janeiro[[#This Row],[Fluxo de Caixa 2026 CTR]]</f>
        <v>0</v>
      </c>
      <c r="C14" s="256"/>
      <c r="D14" s="262"/>
      <c r="E14" s="262"/>
      <c r="F14" s="262"/>
      <c r="G14" s="262"/>
      <c r="H14" s="263"/>
      <c r="I14" s="262">
        <f>Fluxo_de_Caixa_Janeiro3459117[[#This Row],[JULHO]]</f>
        <v>0</v>
      </c>
      <c r="J14" s="262">
        <f>Fluxo_de_Caixa_Janeiro345911710[[#This Row],[AGOSTO]]</f>
        <v>0</v>
      </c>
      <c r="K14" s="262">
        <f>Fluxo_de_Caixa_Janeiro34591171012[[#This Row],[SETEMBRO]]</f>
        <v>0</v>
      </c>
      <c r="L14" s="262">
        <f>Fluxo_de_Caixa_Janeiro3459117101215[[#This Row],[OUTUBRO]]</f>
        <v>0</v>
      </c>
      <c r="M14" s="262">
        <f>Fluxo_de_Caixa_Janeiro345911710121516[[#This Row],[NOVEMBRO]]</f>
        <v>0</v>
      </c>
      <c r="N14" s="263">
        <f>Fluxo_de_Caixa_Janeiro34591171012151619[[#This Row],[DEZEMBRO]]</f>
        <v>0</v>
      </c>
      <c r="O14" s="209">
        <f>SUM(Fluxo_de_Caixa_Janeiro31020817[[#This Row],[Janeiro]:[Dezembro]])</f>
        <v>0</v>
      </c>
      <c r="P14" s="138" t="str">
        <f t="shared" si="0"/>
        <v>0,00%</v>
      </c>
      <c r="Q14" s="66"/>
      <c r="R14" s="31"/>
    </row>
    <row r="15" spans="1:18" x14ac:dyDescent="0.25">
      <c r="B15" s="47" t="str">
        <f>Fluxo_de_Caixa_Janeiro[[#This Row],[Fluxo de Caixa 2026 CTR]]</f>
        <v>2.1 - BANCO DO BRASIL C.C.60638-3 FILIAL PALMAS</v>
      </c>
      <c r="C15" s="256"/>
      <c r="D15" s="262"/>
      <c r="E15" s="262"/>
      <c r="F15" s="262"/>
      <c r="G15" s="262"/>
      <c r="H15" s="263"/>
      <c r="I15" s="262">
        <f>Fluxo_de_Caixa_Janeiro3459117[[#This Row],[JULHO]]</f>
        <v>0</v>
      </c>
      <c r="J15" s="262">
        <f>Fluxo_de_Caixa_Janeiro345911710[[#This Row],[AGOSTO]]</f>
        <v>0</v>
      </c>
      <c r="K15" s="262">
        <f>Fluxo_de_Caixa_Janeiro34591171012[[#This Row],[SETEMBRO]]</f>
        <v>0</v>
      </c>
      <c r="L15" s="262">
        <f>Fluxo_de_Caixa_Janeiro3459117101215[[#This Row],[OUTUBRO]]</f>
        <v>0</v>
      </c>
      <c r="M15" s="262">
        <f>Fluxo_de_Caixa_Janeiro345911710121516[[#This Row],[NOVEMBRO]]</f>
        <v>0</v>
      </c>
      <c r="N15" s="263">
        <f>Fluxo_de_Caixa_Janeiro34591171012151619[[#This Row],[DEZEMBRO]]</f>
        <v>0</v>
      </c>
      <c r="O15" s="209">
        <f>SUM(Fluxo_de_Caixa_Janeiro31020817[[#This Row],[Janeiro]:[Dezembro]])</f>
        <v>0</v>
      </c>
      <c r="P15" s="138" t="str">
        <f t="shared" si="0"/>
        <v>0,00%</v>
      </c>
      <c r="Q15" s="66"/>
      <c r="R15" s="31"/>
    </row>
    <row r="16" spans="1:18" x14ac:dyDescent="0.25">
      <c r="B16" s="47">
        <f>Fluxo_de_Caixa_Janeiro[[#This Row],[Fluxo de Caixa 2026 CTR]]</f>
        <v>0</v>
      </c>
      <c r="C16" s="256"/>
      <c r="D16" s="262"/>
      <c r="E16" s="262"/>
      <c r="F16" s="262"/>
      <c r="G16" s="262"/>
      <c r="H16" s="263"/>
      <c r="I16" s="262">
        <f>Fluxo_de_Caixa_Janeiro3459117[[#This Row],[JULHO]]</f>
        <v>0</v>
      </c>
      <c r="J16" s="262">
        <f>Fluxo_de_Caixa_Janeiro345911710[[#This Row],[AGOSTO]]</f>
        <v>0</v>
      </c>
      <c r="K16" s="262">
        <f>Fluxo_de_Caixa_Janeiro34591171012[[#This Row],[SETEMBRO]]</f>
        <v>0</v>
      </c>
      <c r="L16" s="262">
        <f>Fluxo_de_Caixa_Janeiro3459117101215[[#This Row],[OUTUBRO]]</f>
        <v>0</v>
      </c>
      <c r="M16" s="262">
        <f>Fluxo_de_Caixa_Janeiro345911710121516[[#This Row],[NOVEMBRO]]</f>
        <v>0</v>
      </c>
      <c r="N16" s="263">
        <f>Fluxo_de_Caixa_Janeiro34591171012151619[[#This Row],[DEZEMBRO]]</f>
        <v>0</v>
      </c>
      <c r="O16" s="209">
        <f>SUM(Fluxo_de_Caixa_Janeiro31020817[[#This Row],[Janeiro]:[Dezembro]])</f>
        <v>0</v>
      </c>
      <c r="P16" s="138" t="str">
        <f t="shared" si="0"/>
        <v>0,00%</v>
      </c>
      <c r="Q16" s="66"/>
      <c r="R16" s="31"/>
    </row>
    <row r="17" spans="1:18" ht="15.75" thickBot="1" x14ac:dyDescent="0.3">
      <c r="B17" s="47">
        <f>Fluxo_de_Caixa_Janeiro[[#This Row],[Fluxo de Caixa 2026 CTR]]</f>
        <v>0</v>
      </c>
      <c r="C17" s="256"/>
      <c r="D17" s="262"/>
      <c r="E17" s="262"/>
      <c r="F17" s="262"/>
      <c r="G17" s="262"/>
      <c r="H17" s="263"/>
      <c r="I17" s="262">
        <f>Fluxo_de_Caixa_Janeiro3459117[[#This Row],[JULHO]]</f>
        <v>0</v>
      </c>
      <c r="J17" s="262">
        <f>Fluxo_de_Caixa_Janeiro345911710[[#This Row],[AGOSTO]]</f>
        <v>0</v>
      </c>
      <c r="K17" s="262">
        <f>Fluxo_de_Caixa_Janeiro34591171012[[#This Row],[SETEMBRO]]</f>
        <v>0</v>
      </c>
      <c r="L17" s="262">
        <f>Fluxo_de_Caixa_Janeiro3459117101215[[#This Row],[OUTUBRO]]</f>
        <v>0</v>
      </c>
      <c r="M17" s="262">
        <f>Fluxo_de_Caixa_Janeiro345911710121516[[#This Row],[NOVEMBRO]]</f>
        <v>0</v>
      </c>
      <c r="N17" s="263">
        <f>Fluxo_de_Caixa_Janeiro34591171012151619[[#This Row],[DEZEMBRO]]</f>
        <v>0</v>
      </c>
      <c r="O17" s="208">
        <f>SUM(Fluxo_de_Caixa_Janeiro31020817[[#This Row],[Janeiro]:[Dezembro]])</f>
        <v>0</v>
      </c>
      <c r="P17" s="138" t="str">
        <f t="shared" si="0"/>
        <v>0,00%</v>
      </c>
      <c r="Q17" s="67"/>
      <c r="R17" s="31"/>
    </row>
    <row r="18" spans="1:18" x14ac:dyDescent="0.25">
      <c r="B18" s="47" t="str">
        <f>Fluxo_de_Caixa_Janeiro[[#This Row],[Fluxo de Caixa 2026 CTR]]</f>
        <v>2.4 - ITAU C.C.98669-0 FILIAL PALMAS</v>
      </c>
      <c r="C18" s="256"/>
      <c r="D18" s="262"/>
      <c r="E18" s="262"/>
      <c r="F18" s="262"/>
      <c r="G18" s="262"/>
      <c r="H18" s="263"/>
      <c r="I18" s="262">
        <f>Fluxo_de_Caixa_Janeiro3459117[[#This Row],[JULHO]]</f>
        <v>0</v>
      </c>
      <c r="J18" s="262">
        <f>Fluxo_de_Caixa_Janeiro345911710[[#This Row],[AGOSTO]]</f>
        <v>0</v>
      </c>
      <c r="K18" s="262">
        <f>Fluxo_de_Caixa_Janeiro34591171012[[#This Row],[SETEMBRO]]</f>
        <v>0</v>
      </c>
      <c r="L18" s="262">
        <f>Fluxo_de_Caixa_Janeiro3459117101215[[#This Row],[OUTUBRO]]</f>
        <v>0</v>
      </c>
      <c r="M18" s="262">
        <f>Fluxo_de_Caixa_Janeiro345911710121516[[#This Row],[NOVEMBRO]]</f>
        <v>0</v>
      </c>
      <c r="N18" s="263">
        <f>Fluxo_de_Caixa_Janeiro34591171012151619[[#This Row],[DEZEMBRO]]</f>
        <v>0</v>
      </c>
      <c r="O18" s="208">
        <f>SUM(Fluxo_de_Caixa_Janeiro31020817[[#This Row],[Janeiro]:[Dezembro]])</f>
        <v>0</v>
      </c>
      <c r="P18" s="138" t="str">
        <f t="shared" si="0"/>
        <v>0,00%</v>
      </c>
      <c r="Q18" s="647"/>
      <c r="R18" s="31"/>
    </row>
    <row r="19" spans="1:18" x14ac:dyDescent="0.25">
      <c r="B19" s="47" t="str">
        <f>Fluxo_de_Caixa_Janeiro[[#This Row],[Fluxo de Caixa 2026 CTR]]</f>
        <v>2.9 - CONTA PERDA/ROUBO E BONIFICAÇÃO FILIAL</v>
      </c>
      <c r="C19" s="256"/>
      <c r="D19" s="262"/>
      <c r="E19" s="262"/>
      <c r="F19" s="262"/>
      <c r="G19" s="262"/>
      <c r="H19" s="263"/>
      <c r="I19" s="262">
        <f>Fluxo_de_Caixa_Janeiro3459117[[#This Row],[JULHO]]</f>
        <v>0</v>
      </c>
      <c r="J19" s="262">
        <f>Fluxo_de_Caixa_Janeiro345911710[[#This Row],[AGOSTO]]</f>
        <v>0</v>
      </c>
      <c r="K19" s="262">
        <f>Fluxo_de_Caixa_Janeiro34591171012[[#This Row],[SETEMBRO]]</f>
        <v>0</v>
      </c>
      <c r="L19" s="262">
        <f>Fluxo_de_Caixa_Janeiro3459117101215[[#This Row],[OUTUBRO]]</f>
        <v>0</v>
      </c>
      <c r="M19" s="262">
        <f>Fluxo_de_Caixa_Janeiro345911710121516[[#This Row],[NOVEMBRO]]</f>
        <v>0</v>
      </c>
      <c r="N19" s="263">
        <f>Fluxo_de_Caixa_Janeiro34591171012151619[[#This Row],[DEZEMBRO]]</f>
        <v>0</v>
      </c>
      <c r="O19" s="208">
        <f>SUM(Fluxo_de_Caixa_Janeiro31020817[[#This Row],[Janeiro]:[Dezembro]])</f>
        <v>0</v>
      </c>
      <c r="P19" s="138" t="str">
        <f t="shared" si="0"/>
        <v>0,00%</v>
      </c>
      <c r="Q19" s="647"/>
      <c r="R19" s="31"/>
    </row>
    <row r="20" spans="1:18" x14ac:dyDescent="0.25">
      <c r="B20" s="47" t="str">
        <f>Fluxo_de_Caixa_Janeiro[[#This Row],[Fluxo de Caixa 2026 CTR]]</f>
        <v>4.0 - TESOURARIA FILIAL PORTO</v>
      </c>
      <c r="C20" s="256"/>
      <c r="D20" s="262"/>
      <c r="E20" s="262"/>
      <c r="F20" s="262"/>
      <c r="G20" s="262"/>
      <c r="H20" s="263"/>
      <c r="I20" s="262">
        <f>Fluxo_de_Caixa_Janeiro3459117[[#This Row],[JULHO]]</f>
        <v>0</v>
      </c>
      <c r="J20" s="262">
        <f>Fluxo_de_Caixa_Janeiro345911710[[#This Row],[AGOSTO]]</f>
        <v>0</v>
      </c>
      <c r="K20" s="262">
        <f>Fluxo_de_Caixa_Janeiro34591171012[[#This Row],[SETEMBRO]]</f>
        <v>0</v>
      </c>
      <c r="L20" s="262">
        <f>Fluxo_de_Caixa_Janeiro3459117101215[[#This Row],[OUTUBRO]]</f>
        <v>0</v>
      </c>
      <c r="M20" s="262">
        <f>Fluxo_de_Caixa_Janeiro345911710121516[[#This Row],[NOVEMBRO]]</f>
        <v>0</v>
      </c>
      <c r="N20" s="263">
        <f>Fluxo_de_Caixa_Janeiro34591171012151619[[#This Row],[DEZEMBRO]]</f>
        <v>0</v>
      </c>
      <c r="O20" s="208">
        <f>SUM(Fluxo_de_Caixa_Janeiro31020817[[#This Row],[Janeiro]:[Dezembro]])</f>
        <v>0</v>
      </c>
      <c r="P20" s="138" t="str">
        <f t="shared" si="0"/>
        <v>0,00%</v>
      </c>
      <c r="Q20" s="647"/>
      <c r="R20" s="31"/>
    </row>
    <row r="21" spans="1:18" x14ac:dyDescent="0.25">
      <c r="B21" s="47" t="str">
        <f>Fluxo_de_Caixa_Janeiro[[#This Row],[Fluxo de Caixa 2026 CTR]]</f>
        <v>4.1 -  BANCO DO BRASIL C.C.61105-0 FILIAL PORTO</v>
      </c>
      <c r="C21" s="256"/>
      <c r="D21" s="262"/>
      <c r="E21" s="262"/>
      <c r="F21" s="262"/>
      <c r="G21" s="262"/>
      <c r="H21" s="263"/>
      <c r="I21" s="262">
        <f>Fluxo_de_Caixa_Janeiro3459117[[#This Row],[JULHO]]</f>
        <v>0</v>
      </c>
      <c r="J21" s="262">
        <f>Fluxo_de_Caixa_Janeiro345911710[[#This Row],[AGOSTO]]</f>
        <v>0</v>
      </c>
      <c r="K21" s="262">
        <f>Fluxo_de_Caixa_Janeiro34591171012[[#This Row],[SETEMBRO]]</f>
        <v>0</v>
      </c>
      <c r="L21" s="262">
        <f>Fluxo_de_Caixa_Janeiro3459117101215[[#This Row],[OUTUBRO]]</f>
        <v>0</v>
      </c>
      <c r="M21" s="262">
        <f>Fluxo_de_Caixa_Janeiro345911710121516[[#This Row],[NOVEMBRO]]</f>
        <v>0</v>
      </c>
      <c r="N21" s="263">
        <f>Fluxo_de_Caixa_Janeiro34591171012151619[[#This Row],[DEZEMBRO]]</f>
        <v>0</v>
      </c>
      <c r="O21" s="209">
        <f>SUM(Fluxo_de_Caixa_Janeiro31020817[[#This Row],[Janeiro]:[Dezembro]])</f>
        <v>0</v>
      </c>
      <c r="P21" s="138" t="str">
        <f t="shared" si="0"/>
        <v>0,00%</v>
      </c>
      <c r="Q21" s="647"/>
      <c r="R21" s="31"/>
    </row>
    <row r="22" spans="1:18" x14ac:dyDescent="0.25">
      <c r="B22" s="47">
        <f>Fluxo_de_Caixa_Janeiro[[#This Row],[Fluxo de Caixa 2026 CTR]]</f>
        <v>0</v>
      </c>
      <c r="C22" s="256"/>
      <c r="D22" s="262"/>
      <c r="E22" s="262"/>
      <c r="F22" s="262"/>
      <c r="G22" s="262"/>
      <c r="H22" s="263"/>
      <c r="I22" s="262">
        <f>Fluxo_de_Caixa_Janeiro3459117[[#This Row],[JULHO]]</f>
        <v>0</v>
      </c>
      <c r="J22" s="262">
        <f>Fluxo_de_Caixa_Janeiro345911710[[#This Row],[AGOSTO]]</f>
        <v>0</v>
      </c>
      <c r="K22" s="262">
        <f>Fluxo_de_Caixa_Janeiro34591171012[[#This Row],[SETEMBRO]]</f>
        <v>0</v>
      </c>
      <c r="L22" s="262">
        <f>Fluxo_de_Caixa_Janeiro3459117101215[[#This Row],[OUTUBRO]]</f>
        <v>0</v>
      </c>
      <c r="M22" s="262">
        <f>Fluxo_de_Caixa_Janeiro345911710121516[[#This Row],[NOVEMBRO]]</f>
        <v>0</v>
      </c>
      <c r="N22" s="263">
        <f>Fluxo_de_Caixa_Janeiro34591171012151619[[#This Row],[DEZEMBRO]]</f>
        <v>0</v>
      </c>
      <c r="O22" s="209">
        <f>SUM(Fluxo_de_Caixa_Janeiro31020817[[#This Row],[Janeiro]:[Dezembro]])</f>
        <v>0</v>
      </c>
      <c r="P22" s="138" t="str">
        <f t="shared" si="0"/>
        <v>0,00%</v>
      </c>
      <c r="Q22" s="647"/>
      <c r="R22" s="31"/>
    </row>
    <row r="23" spans="1:18" x14ac:dyDescent="0.25">
      <c r="B23" s="47" t="str">
        <f>Fluxo_de_Caixa_Janeiro[[#This Row],[Fluxo de Caixa 2026 CTR]]</f>
        <v>4.4 - MERCADO PAGO PIX FILIAL PORTO</v>
      </c>
      <c r="C23" s="256"/>
      <c r="D23" s="262"/>
      <c r="E23" s="262"/>
      <c r="F23" s="262"/>
      <c r="G23" s="262"/>
      <c r="H23" s="263"/>
      <c r="I23" s="262">
        <f>Fluxo_de_Caixa_Janeiro3459117[[#This Row],[JULHO]]</f>
        <v>0</v>
      </c>
      <c r="J23" s="262">
        <f>Fluxo_de_Caixa_Janeiro345911710[[#This Row],[AGOSTO]]</f>
        <v>0</v>
      </c>
      <c r="K23" s="262">
        <f>Fluxo_de_Caixa_Janeiro34591171012[[#This Row],[SETEMBRO]]</f>
        <v>0</v>
      </c>
      <c r="L23" s="262">
        <f>Fluxo_de_Caixa_Janeiro3459117101215[[#This Row],[OUTUBRO]]</f>
        <v>0</v>
      </c>
      <c r="M23" s="262">
        <f>Fluxo_de_Caixa_Janeiro345911710121516[[#This Row],[NOVEMBRO]]</f>
        <v>0</v>
      </c>
      <c r="N23" s="263">
        <f>Fluxo_de_Caixa_Janeiro34591171012151619[[#This Row],[DEZEMBRO]]</f>
        <v>0</v>
      </c>
      <c r="O23" s="209">
        <f>SUM(Fluxo_de_Caixa_Janeiro31020817[[#This Row],[Janeiro]:[Dezembro]])</f>
        <v>0</v>
      </c>
      <c r="P23" s="138" t="str">
        <f t="shared" si="0"/>
        <v>0,00%</v>
      </c>
      <c r="Q23" s="647"/>
      <c r="R23" s="31"/>
    </row>
    <row r="24" spans="1:18" x14ac:dyDescent="0.25">
      <c r="B24" s="47" t="str">
        <f>Fluxo_de_Caixa_Janeiro[[#This Row],[Fluxo de Caixa 2026 CTR]]</f>
        <v>4.9 - CONTA PERDA/ROUBO E BONIFICAÇÃO FILIAL</v>
      </c>
      <c r="C24" s="256"/>
      <c r="D24" s="262"/>
      <c r="E24" s="262"/>
      <c r="F24" s="262"/>
      <c r="G24" s="262"/>
      <c r="H24" s="263"/>
      <c r="I24" s="262">
        <f>Fluxo_de_Caixa_Janeiro3459117[[#This Row],[JULHO]]</f>
        <v>0</v>
      </c>
      <c r="J24" s="262">
        <f>Fluxo_de_Caixa_Janeiro345911710[[#This Row],[AGOSTO]]</f>
        <v>0</v>
      </c>
      <c r="K24" s="262">
        <f>Fluxo_de_Caixa_Janeiro34591171012[[#This Row],[SETEMBRO]]</f>
        <v>0</v>
      </c>
      <c r="L24" s="262">
        <f>Fluxo_de_Caixa_Janeiro3459117101215[[#This Row],[OUTUBRO]]</f>
        <v>0</v>
      </c>
      <c r="M24" s="262">
        <f>Fluxo_de_Caixa_Janeiro345911710121516[[#This Row],[NOVEMBRO]]</f>
        <v>0</v>
      </c>
      <c r="N24" s="263">
        <f>Fluxo_de_Caixa_Janeiro34591171012151619[[#This Row],[DEZEMBRO]]</f>
        <v>0</v>
      </c>
      <c r="O24" s="209">
        <f>SUM(Fluxo_de_Caixa_Janeiro31020817[[#This Row],[Janeiro]:[Dezembro]])</f>
        <v>0</v>
      </c>
      <c r="P24" s="138" t="str">
        <f t="shared" si="0"/>
        <v>0,00%</v>
      </c>
      <c r="Q24" s="647"/>
      <c r="R24" s="31"/>
    </row>
    <row r="25" spans="1:18" ht="15.75" thickBot="1" x14ac:dyDescent="0.3">
      <c r="B25" s="47" t="str">
        <f>Fluxo_de_Caixa_Janeiro[[#This Row],[Fluxo de Caixa 2026 CTR]]</f>
        <v>91.CARTÃO ENDERED 5099+4596+6933+8072 - ESCRITORIO</v>
      </c>
      <c r="C25" s="256"/>
      <c r="D25" s="262"/>
      <c r="E25" s="262"/>
      <c r="F25" s="262"/>
      <c r="G25" s="262"/>
      <c r="H25" s="263"/>
      <c r="I25" s="262">
        <f>Fluxo_de_Caixa_Janeiro3459117[[#This Row],[JULHO]]</f>
        <v>0</v>
      </c>
      <c r="J25" s="262">
        <f>Fluxo_de_Caixa_Janeiro345911710[[#This Row],[AGOSTO]]</f>
        <v>0</v>
      </c>
      <c r="K25" s="262">
        <f>Fluxo_de_Caixa_Janeiro34591171012[[#This Row],[SETEMBRO]]</f>
        <v>0</v>
      </c>
      <c r="L25" s="262">
        <f>Fluxo_de_Caixa_Janeiro3459117101215[[#This Row],[OUTUBRO]]</f>
        <v>0</v>
      </c>
      <c r="M25" s="262">
        <f>Fluxo_de_Caixa_Janeiro345911710121516[[#This Row],[NOVEMBRO]]</f>
        <v>0</v>
      </c>
      <c r="N25" s="263">
        <f>Fluxo_de_Caixa_Janeiro34591171012151619[[#This Row],[DEZEMBRO]]</f>
        <v>0</v>
      </c>
      <c r="O25" s="209">
        <f>SUM(Fluxo_de_Caixa_Janeiro31020817[[#This Row],[Janeiro]:[Dezembro]])</f>
        <v>0</v>
      </c>
      <c r="P25" s="138" t="str">
        <f t="shared" si="0"/>
        <v>0,00%</v>
      </c>
      <c r="Q25" s="647"/>
      <c r="R25" s="31"/>
    </row>
    <row r="26" spans="1:18" ht="15.75" hidden="1" thickBot="1" x14ac:dyDescent="0.3">
      <c r="B26" s="47">
        <f>Fluxo_de_Caixa_Janeiro[[#This Row],[Fluxo de Caixa 2026 CTR]]</f>
        <v>0</v>
      </c>
      <c r="C26" s="256"/>
      <c r="D26" s="262"/>
      <c r="E26" s="262"/>
      <c r="F26" s="262"/>
      <c r="G26" s="262"/>
      <c r="H26" s="263"/>
      <c r="I26" s="262">
        <f>Fluxo_de_Caixa_Janeiro3459117[[#This Row],[JULHO]]</f>
        <v>0</v>
      </c>
      <c r="J26" s="262">
        <f>Fluxo_de_Caixa_Janeiro345911710[[#This Row],[AGOSTO]]</f>
        <v>0</v>
      </c>
      <c r="K26" s="262">
        <f>Fluxo_de_Caixa_Janeiro34591171012[[#This Row],[SETEMBRO]]</f>
        <v>0</v>
      </c>
      <c r="L26" s="262">
        <f>Fluxo_de_Caixa_Janeiro3459117101215[[#This Row],[OUTUBRO]]</f>
        <v>0</v>
      </c>
      <c r="M26" s="262">
        <f>Fluxo_de_Caixa_Janeiro345911710121516[[#This Row],[NOVEMBRO]]</f>
        <v>0</v>
      </c>
      <c r="N26" s="263">
        <f>Fluxo_de_Caixa_Janeiro34591171012151619[[#This Row],[DEZEMBRO]]</f>
        <v>0</v>
      </c>
      <c r="O26" s="209">
        <f>SUM(Fluxo_de_Caixa_Janeiro31020817[[#This Row],[Janeiro]:[Dezembro]])</f>
        <v>0</v>
      </c>
      <c r="P26" s="138" t="str">
        <f t="shared" si="0"/>
        <v>0,00%</v>
      </c>
      <c r="Q26" s="647"/>
      <c r="R26" s="31"/>
    </row>
    <row r="27" spans="1:18" ht="27" thickBot="1" x14ac:dyDescent="0.45">
      <c r="B27" s="266" t="str">
        <f>Fluxo_de_Caixa_Janeiro[[#This Row],[Fluxo de Caixa 2026 CTR]]</f>
        <v>Total Receitas Operacionais / Vendas</v>
      </c>
      <c r="C27" s="37"/>
      <c r="D27" s="83"/>
      <c r="E27" s="83"/>
      <c r="F27" s="83"/>
      <c r="G27" s="83"/>
      <c r="H27" s="121"/>
      <c r="I27" s="83">
        <f>Fluxo_de_Caixa_Janeiro3459117[[#This Row],[JULHO]]</f>
        <v>0</v>
      </c>
      <c r="J27" s="83">
        <f>Fluxo_de_Caixa_Janeiro345911710[[#This Row],[AGOSTO]]</f>
        <v>0</v>
      </c>
      <c r="K27" s="83">
        <f>Fluxo_de_Caixa_Janeiro34591171012[[#This Row],[SETEMBRO]]</f>
        <v>0</v>
      </c>
      <c r="L27" s="83">
        <f>Fluxo_de_Caixa_Janeiro3459117101215[[#This Row],[OUTUBRO]]</f>
        <v>0</v>
      </c>
      <c r="M27" s="83">
        <f>Fluxo_de_Caixa_Janeiro345911710121516[[#This Row],[NOVEMBRO]]</f>
        <v>0</v>
      </c>
      <c r="N27" s="121">
        <f>Fluxo_de_Caixa_Janeiro34591171012151619[[#This Row],[DEZEMBRO]]</f>
        <v>0</v>
      </c>
      <c r="O27" s="211">
        <f>SUM(Fluxo_de_Caixa_Janeiro31020817[[#This Row],[Janeiro]:[Dezembro]])</f>
        <v>0</v>
      </c>
      <c r="P27" s="198" t="str">
        <f>IFERROR(O27/O332,"0,00%")</f>
        <v>0,00%</v>
      </c>
      <c r="Q27" s="68"/>
      <c r="R27" s="32" t="str">
        <f>IF(Fluxo_de_Caixa_Janeiro31020817[[#This Row],[% ACUMULADO  2º SEMEST 2025]]&gt;=Fluxo_de_Caixa_Janeiro31020817[[#This Row],[Coluna1]],"VERDADEIRO","FALSO")</f>
        <v>VERDADEIRO</v>
      </c>
    </row>
    <row r="28" spans="1:18" s="1" customFormat="1" ht="24" thickBot="1" x14ac:dyDescent="0.4">
      <c r="A28" s="11" t="s">
        <v>49</v>
      </c>
      <c r="B28" s="57" t="str">
        <f>Fluxo_de_Caixa_Janeiro[[#This Row],[Fluxo de Caixa 2026 CTR]]</f>
        <v>1.1. Receita com Vendas</v>
      </c>
      <c r="C28" s="44"/>
      <c r="D28" s="85"/>
      <c r="E28" s="85"/>
      <c r="F28" s="85"/>
      <c r="G28" s="85"/>
      <c r="H28" s="122"/>
      <c r="I28" s="85">
        <f>Fluxo_de_Caixa_Janeiro3459117[[#This Row],[JULHO]]</f>
        <v>0</v>
      </c>
      <c r="J28" s="85">
        <f>Fluxo_de_Caixa_Janeiro345911710[[#This Row],[AGOSTO]]</f>
        <v>0</v>
      </c>
      <c r="K28" s="85">
        <f>Fluxo_de_Caixa_Janeiro34591171012[[#This Row],[SETEMBRO]]</f>
        <v>0</v>
      </c>
      <c r="L28" s="85">
        <f>Fluxo_de_Caixa_Janeiro3459117101215[[#This Row],[OUTUBRO]]</f>
        <v>0</v>
      </c>
      <c r="M28" s="85">
        <f>Fluxo_de_Caixa_Janeiro345911710121516[[#This Row],[NOVEMBRO]]</f>
        <v>0</v>
      </c>
      <c r="N28" s="122">
        <f>Fluxo_de_Caixa_Janeiro34591171012151619[[#This Row],[DEZEMBRO]]</f>
        <v>0</v>
      </c>
      <c r="O28" s="212">
        <f>SUM(Fluxo_de_Caixa_Janeiro31020817[[#This Row],[Janeiro]:[Dezembro]])</f>
        <v>0</v>
      </c>
      <c r="P28" s="25">
        <f>SUM(P29:P47)</f>
        <v>0</v>
      </c>
      <c r="Q28" s="69"/>
      <c r="R28" s="32"/>
    </row>
    <row r="29" spans="1:18" x14ac:dyDescent="0.25">
      <c r="B29" s="49" t="str">
        <f>Fluxo_de_Caixa_Janeiro[[#This Row],[Fluxo de Caixa 2026 CTR]]</f>
        <v xml:space="preserve">1.1.01. Receita em Dinheiro </v>
      </c>
      <c r="C29" s="39"/>
      <c r="D29" s="84"/>
      <c r="E29" s="84"/>
      <c r="F29" s="84"/>
      <c r="G29" s="84"/>
      <c r="H29" s="123"/>
      <c r="I29" s="84">
        <f>Fluxo_de_Caixa_Janeiro3459117[[#This Row],[JULHO]]</f>
        <v>0</v>
      </c>
      <c r="J29" s="84">
        <f>Fluxo_de_Caixa_Janeiro345911710[[#This Row],[AGOSTO]]</f>
        <v>0</v>
      </c>
      <c r="K29" s="84">
        <f>Fluxo_de_Caixa_Janeiro34591171012[[#This Row],[SETEMBRO]]</f>
        <v>0</v>
      </c>
      <c r="L29" s="84">
        <f>Fluxo_de_Caixa_Janeiro3459117101215[[#This Row],[OUTUBRO]]</f>
        <v>0</v>
      </c>
      <c r="M29" s="84">
        <f>Fluxo_de_Caixa_Janeiro345911710121516[[#This Row],[NOVEMBRO]]</f>
        <v>0</v>
      </c>
      <c r="N29" s="123">
        <f>Fluxo_de_Caixa_Janeiro34591171012151619[[#This Row],[DEZEMBRO]]</f>
        <v>0</v>
      </c>
      <c r="O29" s="213">
        <f>SUM(Fluxo_de_Caixa_Janeiro31020817[[#This Row],[Janeiro]:[Dezembro]])</f>
        <v>0</v>
      </c>
      <c r="P29" s="29" t="str">
        <f t="shared" ref="P29:P47" si="1">IF(O29=0,"0,00%",O29/$O$332)</f>
        <v>0,00%</v>
      </c>
      <c r="Q29" s="63"/>
      <c r="R29" s="32" t="str">
        <f>IF(Fluxo_de_Caixa_Janeiro31020817[[#This Row],[% ACUMULADO  2º SEMEST 2025]]&gt;=Fluxo_de_Caixa_Janeiro31020817[[#This Row],[Coluna1]],"VERDADEIRO","FALSO")</f>
        <v>VERDADEIRO</v>
      </c>
    </row>
    <row r="30" spans="1:18" x14ac:dyDescent="0.25">
      <c r="B30" s="50" t="str">
        <f>Fluxo_de_Caixa_Janeiro[[#This Row],[Fluxo de Caixa 2026 CTR]]</f>
        <v>1.1.01. Receita em Cartão (Crédito e Débito)</v>
      </c>
      <c r="C30" s="40"/>
      <c r="D30" s="64"/>
      <c r="E30" s="64"/>
      <c r="F30" s="64"/>
      <c r="G30" s="64"/>
      <c r="H30" s="124"/>
      <c r="I30" s="64">
        <f>Fluxo_de_Caixa_Janeiro3459117[[#This Row],[JULHO]]</f>
        <v>0</v>
      </c>
      <c r="J30" s="64">
        <f>Fluxo_de_Caixa_Janeiro345911710[[#This Row],[AGOSTO]]</f>
        <v>0</v>
      </c>
      <c r="K30" s="64">
        <f>Fluxo_de_Caixa_Janeiro34591171012[[#This Row],[SETEMBRO]]</f>
        <v>0</v>
      </c>
      <c r="L30" s="64">
        <f>Fluxo_de_Caixa_Janeiro3459117101215[[#This Row],[OUTUBRO]]</f>
        <v>0</v>
      </c>
      <c r="M30" s="64">
        <f>Fluxo_de_Caixa_Janeiro345911710121516[[#This Row],[NOVEMBRO]]</f>
        <v>0</v>
      </c>
      <c r="N30" s="124">
        <f>Fluxo_de_Caixa_Janeiro34591171012151619[[#This Row],[DEZEMBRO]]</f>
        <v>0</v>
      </c>
      <c r="O30" s="214">
        <f>SUM(Fluxo_de_Caixa_Janeiro31020817[[#This Row],[Janeiro]:[Dezembro]])</f>
        <v>0</v>
      </c>
      <c r="P30" s="140" t="str">
        <f t="shared" si="1"/>
        <v>0,00%</v>
      </c>
      <c r="Q30" s="63"/>
      <c r="R30" s="32" t="str">
        <f>IF(Fluxo_de_Caixa_Janeiro31020817[[#This Row],[% ACUMULADO  2º SEMEST 2025]]&gt;=Fluxo_de_Caixa_Janeiro31020817[[#This Row],[Coluna1]],"VERDADEIRO","FALSO")</f>
        <v>VERDADEIRO</v>
      </c>
    </row>
    <row r="31" spans="1:18" x14ac:dyDescent="0.25">
      <c r="B31" s="50" t="str">
        <f>Fluxo_de_Caixa_Janeiro[[#This Row],[Fluxo de Caixa 2026 CTR]]</f>
        <v>1.1.01. Receita de Cheque A Vista</v>
      </c>
      <c r="C31" s="35"/>
      <c r="D31" s="62"/>
      <c r="E31" s="62"/>
      <c r="F31" s="62"/>
      <c r="G31" s="62"/>
      <c r="H31" s="119"/>
      <c r="I31" s="62">
        <f>Fluxo_de_Caixa_Janeiro3459117[[#This Row],[JULHO]]</f>
        <v>0</v>
      </c>
      <c r="J31" s="62">
        <f>Fluxo_de_Caixa_Janeiro345911710[[#This Row],[AGOSTO]]</f>
        <v>0</v>
      </c>
      <c r="K31" s="62">
        <f>Fluxo_de_Caixa_Janeiro34591171012[[#This Row],[SETEMBRO]]</f>
        <v>0</v>
      </c>
      <c r="L31" s="62">
        <f>Fluxo_de_Caixa_Janeiro3459117101215[[#This Row],[OUTUBRO]]</f>
        <v>0</v>
      </c>
      <c r="M31" s="62">
        <f>Fluxo_de_Caixa_Janeiro345911710121516[[#This Row],[NOVEMBRO]]</f>
        <v>0</v>
      </c>
      <c r="N31" s="119">
        <f>Fluxo_de_Caixa_Janeiro34591171012151619[[#This Row],[DEZEMBRO]]</f>
        <v>0</v>
      </c>
      <c r="O31" s="214">
        <f>SUM(Fluxo_de_Caixa_Janeiro31020817[[#This Row],[Janeiro]:[Dezembro]])</f>
        <v>0</v>
      </c>
      <c r="P31" s="140" t="str">
        <f t="shared" si="1"/>
        <v>0,00%</v>
      </c>
      <c r="Q31" s="63"/>
      <c r="R31" s="32" t="str">
        <f>IF(Fluxo_de_Caixa_Janeiro31020817[[#This Row],[% ACUMULADO  2º SEMEST 2025]]&gt;=Fluxo_de_Caixa_Janeiro31020817[[#This Row],[Coluna1]],"VERDADEIRO","FALSO")</f>
        <v>VERDADEIRO</v>
      </c>
    </row>
    <row r="32" spans="1:18" x14ac:dyDescent="0.25">
      <c r="B32" s="50" t="str">
        <f>Fluxo_de_Caixa_Janeiro[[#This Row],[Fluxo de Caixa 2026 CTR]]</f>
        <v xml:space="preserve">1.1.01. Receita de Cheque Pré </v>
      </c>
      <c r="C32" s="35"/>
      <c r="D32" s="62"/>
      <c r="E32" s="62"/>
      <c r="F32" s="62"/>
      <c r="G32" s="62"/>
      <c r="H32" s="119"/>
      <c r="I32" s="62">
        <f>Fluxo_de_Caixa_Janeiro3459117[[#This Row],[JULHO]]</f>
        <v>0</v>
      </c>
      <c r="J32" s="62">
        <f>Fluxo_de_Caixa_Janeiro345911710[[#This Row],[AGOSTO]]</f>
        <v>0</v>
      </c>
      <c r="K32" s="62">
        <f>Fluxo_de_Caixa_Janeiro34591171012[[#This Row],[SETEMBRO]]</f>
        <v>0</v>
      </c>
      <c r="L32" s="62">
        <f>Fluxo_de_Caixa_Janeiro3459117101215[[#This Row],[OUTUBRO]]</f>
        <v>0</v>
      </c>
      <c r="M32" s="62">
        <f>Fluxo_de_Caixa_Janeiro345911710121516[[#This Row],[NOVEMBRO]]</f>
        <v>0</v>
      </c>
      <c r="N32" s="119">
        <f>Fluxo_de_Caixa_Janeiro34591171012151619[[#This Row],[DEZEMBRO]]</f>
        <v>0</v>
      </c>
      <c r="O32" s="214">
        <f>SUM(Fluxo_de_Caixa_Janeiro31020817[[#This Row],[Janeiro]:[Dezembro]])</f>
        <v>0</v>
      </c>
      <c r="P32" s="140" t="str">
        <f t="shared" si="1"/>
        <v>0,00%</v>
      </c>
      <c r="Q32" s="63"/>
      <c r="R32" s="32" t="str">
        <f>IF(Fluxo_de_Caixa_Janeiro31020817[[#This Row],[% ACUMULADO  2º SEMEST 2025]]&gt;=Fluxo_de_Caixa_Janeiro31020817[[#This Row],[Coluna1]],"VERDADEIRO","FALSO")</f>
        <v>VERDADEIRO</v>
      </c>
    </row>
    <row r="33" spans="1:18" x14ac:dyDescent="0.25">
      <c r="B33" s="50" t="str">
        <f>Fluxo_de_Caixa_Janeiro[[#This Row],[Fluxo de Caixa 2026 CTR]]</f>
        <v>1.1.01. Recebimento de Carteira (Notinha)</v>
      </c>
      <c r="C33" s="35"/>
      <c r="D33" s="62"/>
      <c r="E33" s="62"/>
      <c r="F33" s="62"/>
      <c r="G33" s="62"/>
      <c r="H33" s="119"/>
      <c r="I33" s="62">
        <f>Fluxo_de_Caixa_Janeiro3459117[[#This Row],[JULHO]]</f>
        <v>0</v>
      </c>
      <c r="J33" s="62">
        <f>Fluxo_de_Caixa_Janeiro345911710[[#This Row],[AGOSTO]]</f>
        <v>0</v>
      </c>
      <c r="K33" s="62">
        <f>Fluxo_de_Caixa_Janeiro34591171012[[#This Row],[SETEMBRO]]</f>
        <v>0</v>
      </c>
      <c r="L33" s="62">
        <f>Fluxo_de_Caixa_Janeiro3459117101215[[#This Row],[OUTUBRO]]</f>
        <v>0</v>
      </c>
      <c r="M33" s="62">
        <f>Fluxo_de_Caixa_Janeiro345911710121516[[#This Row],[NOVEMBRO]]</f>
        <v>0</v>
      </c>
      <c r="N33" s="119">
        <f>Fluxo_de_Caixa_Janeiro34591171012151619[[#This Row],[DEZEMBRO]]</f>
        <v>0</v>
      </c>
      <c r="O33" s="214">
        <f>SUM(Fluxo_de_Caixa_Janeiro31020817[[#This Row],[Janeiro]:[Dezembro]])</f>
        <v>0</v>
      </c>
      <c r="P33" s="140" t="str">
        <f t="shared" si="1"/>
        <v>0,00%</v>
      </c>
      <c r="Q33" s="63"/>
      <c r="R33" s="32" t="str">
        <f>IF(Fluxo_de_Caixa_Janeiro31020817[[#This Row],[% ACUMULADO  2º SEMEST 2025]]&gt;=Fluxo_de_Caixa_Janeiro31020817[[#This Row],[Coluna1]],"VERDADEIRO","FALSO")</f>
        <v>VERDADEIRO</v>
      </c>
    </row>
    <row r="34" spans="1:18" x14ac:dyDescent="0.25">
      <c r="B34" s="50" t="str">
        <f>Fluxo_de_Caixa_Janeiro[[#This Row],[Fluxo de Caixa 2026 CTR]]</f>
        <v>1.1.01. Recebimento de Boletos</v>
      </c>
      <c r="C34" s="35"/>
      <c r="D34" s="62"/>
      <c r="E34" s="62"/>
      <c r="F34" s="62"/>
      <c r="G34" s="62"/>
      <c r="H34" s="119"/>
      <c r="I34" s="62">
        <f>Fluxo_de_Caixa_Janeiro3459117[[#This Row],[JULHO]]</f>
        <v>0</v>
      </c>
      <c r="J34" s="62">
        <f>Fluxo_de_Caixa_Janeiro345911710[[#This Row],[AGOSTO]]</f>
        <v>0</v>
      </c>
      <c r="K34" s="62">
        <f>Fluxo_de_Caixa_Janeiro34591171012[[#This Row],[SETEMBRO]]</f>
        <v>0</v>
      </c>
      <c r="L34" s="62">
        <f>Fluxo_de_Caixa_Janeiro3459117101215[[#This Row],[OUTUBRO]]</f>
        <v>0</v>
      </c>
      <c r="M34" s="62">
        <f>Fluxo_de_Caixa_Janeiro345911710121516[[#This Row],[NOVEMBRO]]</f>
        <v>0</v>
      </c>
      <c r="N34" s="119">
        <f>Fluxo_de_Caixa_Janeiro34591171012151619[[#This Row],[DEZEMBRO]]</f>
        <v>0</v>
      </c>
      <c r="O34" s="214">
        <f>SUM(Fluxo_de_Caixa_Janeiro31020817[[#This Row],[Janeiro]:[Dezembro]])</f>
        <v>0</v>
      </c>
      <c r="P34" s="140" t="str">
        <f t="shared" si="1"/>
        <v>0,00%</v>
      </c>
      <c r="Q34" s="63"/>
      <c r="R34" s="32" t="str">
        <f>IF(Fluxo_de_Caixa_Janeiro31020817[[#This Row],[% ACUMULADO  2º SEMEST 2025]]&gt;=Fluxo_de_Caixa_Janeiro31020817[[#This Row],[Coluna1]],"VERDADEIRO","FALSO")</f>
        <v>VERDADEIRO</v>
      </c>
    </row>
    <row r="35" spans="1:18" x14ac:dyDescent="0.25">
      <c r="B35" s="50" t="str">
        <f>Fluxo_de_Caixa_Janeiro[[#This Row],[Fluxo de Caixa 2026 CTR]]</f>
        <v>1.1.01. Recebimento em Depósito e Dep. PIX</v>
      </c>
      <c r="C35" s="35"/>
      <c r="D35" s="62"/>
      <c r="E35" s="62"/>
      <c r="F35" s="62"/>
      <c r="G35" s="62"/>
      <c r="H35" s="119"/>
      <c r="I35" s="62">
        <f>Fluxo_de_Caixa_Janeiro3459117[[#This Row],[JULHO]]</f>
        <v>0</v>
      </c>
      <c r="J35" s="62">
        <f>Fluxo_de_Caixa_Janeiro345911710[[#This Row],[AGOSTO]]</f>
        <v>0</v>
      </c>
      <c r="K35" s="62">
        <f>Fluxo_de_Caixa_Janeiro34591171012[[#This Row],[SETEMBRO]]</f>
        <v>0</v>
      </c>
      <c r="L35" s="62">
        <f>Fluxo_de_Caixa_Janeiro3459117101215[[#This Row],[OUTUBRO]]</f>
        <v>0</v>
      </c>
      <c r="M35" s="62">
        <f>Fluxo_de_Caixa_Janeiro345911710121516[[#This Row],[NOVEMBRO]]</f>
        <v>0</v>
      </c>
      <c r="N35" s="119">
        <f>Fluxo_de_Caixa_Janeiro34591171012151619[[#This Row],[DEZEMBRO]]</f>
        <v>0</v>
      </c>
      <c r="O35" s="214">
        <f>SUM(Fluxo_de_Caixa_Janeiro31020817[[#This Row],[Janeiro]:[Dezembro]])</f>
        <v>0</v>
      </c>
      <c r="P35" s="140" t="str">
        <f t="shared" si="1"/>
        <v>0,00%</v>
      </c>
      <c r="Q35" s="63"/>
      <c r="R35" s="32" t="str">
        <f>IF(Fluxo_de_Caixa_Janeiro31020817[[#This Row],[% ACUMULADO  2º SEMEST 2025]]&gt;=Fluxo_de_Caixa_Janeiro31020817[[#This Row],[Coluna1]],"VERDADEIRO","FALSO")</f>
        <v>VERDADEIRO</v>
      </c>
    </row>
    <row r="36" spans="1:18" ht="15.75" thickBot="1" x14ac:dyDescent="0.3">
      <c r="B36" s="51" t="str">
        <f>Fluxo_de_Caixa_Janeiro[[#This Row],[Fluxo de Caixa 2026 CTR]]</f>
        <v>1.1.02. Recebimento Cheque Devolvido</v>
      </c>
      <c r="C36" s="35"/>
      <c r="D36" s="62"/>
      <c r="E36" s="62"/>
      <c r="F36" s="62"/>
      <c r="G36" s="62"/>
      <c r="H36" s="62"/>
      <c r="I36" s="35">
        <f>Fluxo_de_Caixa_Janeiro3459117[[#This Row],[JULHO]]</f>
        <v>0</v>
      </c>
      <c r="J36" s="62">
        <f>Fluxo_de_Caixa_Janeiro345911710[[#This Row],[AGOSTO]]</f>
        <v>0</v>
      </c>
      <c r="K36" s="62">
        <f>Fluxo_de_Caixa_Janeiro34591171012[[#This Row],[SETEMBRO]]</f>
        <v>0</v>
      </c>
      <c r="L36" s="62">
        <f>Fluxo_de_Caixa_Janeiro3459117101215[[#This Row],[OUTUBRO]]</f>
        <v>0</v>
      </c>
      <c r="M36" s="62">
        <f>Fluxo_de_Caixa_Janeiro345911710121516[[#This Row],[NOVEMBRO]]</f>
        <v>0</v>
      </c>
      <c r="N36" s="119">
        <f>Fluxo_de_Caixa_Janeiro34591171012151619[[#This Row],[DEZEMBRO]]</f>
        <v>0</v>
      </c>
      <c r="O36" s="214">
        <f>SUM(Fluxo_de_Caixa_Janeiro31020817[[#This Row],[Janeiro]:[Dezembro]])</f>
        <v>0</v>
      </c>
      <c r="P36" s="140" t="str">
        <f t="shared" si="1"/>
        <v>0,00%</v>
      </c>
      <c r="Q36" s="63"/>
      <c r="R36" s="32" t="str">
        <f>IF(Fluxo_de_Caixa_Janeiro31020817[[#This Row],[% ACUMULADO  2º SEMEST 2025]]&gt;=Fluxo_de_Caixa_Janeiro31020817[[#This Row],[Coluna1]],"VERDADEIRO","FALSO")</f>
        <v>VERDADEIRO</v>
      </c>
    </row>
    <row r="37" spans="1:18" hidden="1" x14ac:dyDescent="0.25">
      <c r="B37" s="365">
        <f>Fluxo_de_Caixa_Janeiro[[#This Row],[Fluxo de Caixa 2026 CTR]]</f>
        <v>0</v>
      </c>
      <c r="C37" s="35"/>
      <c r="D37" s="62"/>
      <c r="E37" s="62"/>
      <c r="F37" s="62"/>
      <c r="G37" s="62"/>
      <c r="H37" s="62"/>
      <c r="I37" s="35">
        <f>Fluxo_de_Caixa_Janeiro3459117[[#This Row],[JULHO]]</f>
        <v>0</v>
      </c>
      <c r="J37" s="62">
        <f>Fluxo_de_Caixa_Janeiro345911710[[#This Row],[AGOSTO]]</f>
        <v>0</v>
      </c>
      <c r="K37" s="62">
        <f>Fluxo_de_Caixa_Janeiro34591171012[[#This Row],[SETEMBRO]]</f>
        <v>0</v>
      </c>
      <c r="L37" s="62">
        <f>Fluxo_de_Caixa_Janeiro3459117101215[[#This Row],[OUTUBRO]]</f>
        <v>0</v>
      </c>
      <c r="M37" s="62">
        <f>Fluxo_de_Caixa_Janeiro345911710121516[[#This Row],[NOVEMBRO]]</f>
        <v>0</v>
      </c>
      <c r="N37" s="119">
        <f>Fluxo_de_Caixa_Janeiro34591171012151619[[#This Row],[DEZEMBRO]]</f>
        <v>0</v>
      </c>
      <c r="O37" s="214">
        <f>SUM(Fluxo_de_Caixa_Janeiro31020817[[#This Row],[Janeiro]:[Dezembro]])</f>
        <v>0</v>
      </c>
      <c r="P37" s="140" t="str">
        <f t="shared" si="1"/>
        <v>0,00%</v>
      </c>
      <c r="Q37" s="63"/>
      <c r="R37" s="32" t="str">
        <f>IF(Fluxo_de_Caixa_Janeiro31020817[[#This Row],[% ACUMULADO  2º SEMEST 2025]]&gt;=Fluxo_de_Caixa_Janeiro31020817[[#This Row],[Coluna1]],"VERDADEIRO","FALSO")</f>
        <v>VERDADEIRO</v>
      </c>
    </row>
    <row r="38" spans="1:18" hidden="1" x14ac:dyDescent="0.25">
      <c r="B38" s="362">
        <f>Fluxo_de_Caixa_Janeiro[[#This Row],[Fluxo de Caixa 2026 CTR]]</f>
        <v>0</v>
      </c>
      <c r="C38" s="357"/>
      <c r="D38" s="306"/>
      <c r="E38" s="306"/>
      <c r="F38" s="306"/>
      <c r="G38" s="306"/>
      <c r="H38" s="306"/>
      <c r="I38" s="357">
        <f>Fluxo_de_Caixa_Janeiro3459117[[#This Row],[JULHO]]</f>
        <v>0</v>
      </c>
      <c r="J38" s="306">
        <f>Fluxo_de_Caixa_Janeiro345911710[[#This Row],[AGOSTO]]</f>
        <v>0</v>
      </c>
      <c r="K38" s="306">
        <f>Fluxo_de_Caixa_Janeiro34591171012[[#This Row],[SETEMBRO]]</f>
        <v>0</v>
      </c>
      <c r="L38" s="306">
        <f>Fluxo_de_Caixa_Janeiro3459117101215[[#This Row],[OUTUBRO]]</f>
        <v>0</v>
      </c>
      <c r="M38" s="306">
        <f>Fluxo_de_Caixa_Janeiro345911710121516[[#This Row],[NOVEMBRO]]</f>
        <v>0</v>
      </c>
      <c r="N38" s="360">
        <f>Fluxo_de_Caixa_Janeiro34591171012151619[[#This Row],[DEZEMBRO]]</f>
        <v>0</v>
      </c>
      <c r="O38" s="394">
        <f>SUM(Fluxo_de_Caixa_Janeiro31020817[[#This Row],[Janeiro]:[Dezembro]])</f>
        <v>0</v>
      </c>
      <c r="P38" s="140" t="str">
        <f t="shared" si="1"/>
        <v>0,00%</v>
      </c>
      <c r="Q38" s="395"/>
      <c r="R38" s="32"/>
    </row>
    <row r="39" spans="1:18" hidden="1" x14ac:dyDescent="0.25">
      <c r="B39" s="364">
        <f>Fluxo_de_Caixa_Janeiro[[#This Row],[Fluxo de Caixa 2026 CTR]]</f>
        <v>0</v>
      </c>
      <c r="C39" s="357"/>
      <c r="D39" s="306"/>
      <c r="E39" s="306"/>
      <c r="F39" s="306"/>
      <c r="G39" s="306"/>
      <c r="H39" s="306"/>
      <c r="I39" s="357">
        <f>Fluxo_de_Caixa_Janeiro3459117[[#This Row],[JULHO]]</f>
        <v>0</v>
      </c>
      <c r="J39" s="306">
        <f>Fluxo_de_Caixa_Janeiro345911710[[#This Row],[AGOSTO]]</f>
        <v>0</v>
      </c>
      <c r="K39" s="306">
        <f>Fluxo_de_Caixa_Janeiro34591171012[[#This Row],[SETEMBRO]]</f>
        <v>0</v>
      </c>
      <c r="L39" s="306">
        <f>Fluxo_de_Caixa_Janeiro3459117101215[[#This Row],[OUTUBRO]]</f>
        <v>0</v>
      </c>
      <c r="M39" s="306">
        <f>Fluxo_de_Caixa_Janeiro345911710121516[[#This Row],[NOVEMBRO]]</f>
        <v>0</v>
      </c>
      <c r="N39" s="360">
        <f>Fluxo_de_Caixa_Janeiro34591171012151619[[#This Row],[DEZEMBRO]]</f>
        <v>0</v>
      </c>
      <c r="O39" s="394">
        <f>SUM(Fluxo_de_Caixa_Janeiro31020817[[#This Row],[Janeiro]:[Dezembro]])</f>
        <v>0</v>
      </c>
      <c r="P39" s="140" t="str">
        <f t="shared" si="1"/>
        <v>0,00%</v>
      </c>
      <c r="Q39" s="395"/>
      <c r="R39" s="32"/>
    </row>
    <row r="40" spans="1:18" hidden="1" x14ac:dyDescent="0.25">
      <c r="B40" s="362">
        <f>Fluxo_de_Caixa_Janeiro[[#This Row],[Fluxo de Caixa 2026 CTR]]</f>
        <v>0</v>
      </c>
      <c r="C40" s="358"/>
      <c r="D40" s="359"/>
      <c r="E40" s="359"/>
      <c r="F40" s="359"/>
      <c r="G40" s="359"/>
      <c r="H40" s="359"/>
      <c r="I40" s="358">
        <f>Fluxo_de_Caixa_Janeiro3459117[[#This Row],[JULHO]]</f>
        <v>0</v>
      </c>
      <c r="J40" s="359">
        <f>Fluxo_de_Caixa_Janeiro345911710[[#This Row],[AGOSTO]]</f>
        <v>0</v>
      </c>
      <c r="K40" s="359">
        <f>Fluxo_de_Caixa_Janeiro34591171012[[#This Row],[SETEMBRO]]</f>
        <v>0</v>
      </c>
      <c r="L40" s="359">
        <f>Fluxo_de_Caixa_Janeiro3459117101215[[#This Row],[OUTUBRO]]</f>
        <v>0</v>
      </c>
      <c r="M40" s="359">
        <f>Fluxo_de_Caixa_Janeiro345911710121516[[#This Row],[NOVEMBRO]]</f>
        <v>0</v>
      </c>
      <c r="N40" s="361">
        <f>Fluxo_de_Caixa_Janeiro34591171012151619[[#This Row],[DEZEMBRO]]</f>
        <v>0</v>
      </c>
      <c r="O40" s="394">
        <f>SUM(Fluxo_de_Caixa_Janeiro31020817[[#This Row],[Janeiro]:[Dezembro]])</f>
        <v>0</v>
      </c>
      <c r="P40" s="140" t="str">
        <f t="shared" si="1"/>
        <v>0,00%</v>
      </c>
      <c r="Q40" s="395"/>
      <c r="R40" s="32"/>
    </row>
    <row r="41" spans="1:18" hidden="1" x14ac:dyDescent="0.25">
      <c r="B41" s="363">
        <f>Fluxo_de_Caixa_Janeiro[[#This Row],[Fluxo de Caixa 2026 CTR]]</f>
        <v>0</v>
      </c>
      <c r="C41" s="358"/>
      <c r="D41" s="359"/>
      <c r="E41" s="359"/>
      <c r="F41" s="359"/>
      <c r="G41" s="359"/>
      <c r="H41" s="359"/>
      <c r="I41" s="358">
        <f>Fluxo_de_Caixa_Janeiro3459117[[#This Row],[JULHO]]</f>
        <v>0</v>
      </c>
      <c r="J41" s="359">
        <f>Fluxo_de_Caixa_Janeiro345911710[[#This Row],[AGOSTO]]</f>
        <v>0</v>
      </c>
      <c r="K41" s="359">
        <f>Fluxo_de_Caixa_Janeiro34591171012[[#This Row],[SETEMBRO]]</f>
        <v>0</v>
      </c>
      <c r="L41" s="359">
        <f>Fluxo_de_Caixa_Janeiro3459117101215[[#This Row],[OUTUBRO]]</f>
        <v>0</v>
      </c>
      <c r="M41" s="359">
        <f>Fluxo_de_Caixa_Janeiro345911710121516[[#This Row],[NOVEMBRO]]</f>
        <v>0</v>
      </c>
      <c r="N41" s="361">
        <f>Fluxo_de_Caixa_Janeiro34591171012151619[[#This Row],[DEZEMBRO]]</f>
        <v>0</v>
      </c>
      <c r="O41" s="394">
        <f>SUM(Fluxo_de_Caixa_Janeiro31020817[[#This Row],[Janeiro]:[Dezembro]])</f>
        <v>0</v>
      </c>
      <c r="P41" s="140" t="str">
        <f t="shared" si="1"/>
        <v>0,00%</v>
      </c>
      <c r="Q41" s="395"/>
      <c r="R41" s="32"/>
    </row>
    <row r="42" spans="1:18" hidden="1" x14ac:dyDescent="0.25">
      <c r="B42" s="363">
        <f>Fluxo_de_Caixa_Janeiro[[#This Row],[Fluxo de Caixa 2026 CTR]]</f>
        <v>0</v>
      </c>
      <c r="C42" s="358"/>
      <c r="D42" s="359"/>
      <c r="E42" s="359"/>
      <c r="F42" s="359"/>
      <c r="G42" s="359"/>
      <c r="H42" s="359"/>
      <c r="I42" s="358">
        <f>Fluxo_de_Caixa_Janeiro3459117[[#This Row],[JULHO]]</f>
        <v>0</v>
      </c>
      <c r="J42" s="359">
        <f>Fluxo_de_Caixa_Janeiro345911710[[#This Row],[AGOSTO]]</f>
        <v>0</v>
      </c>
      <c r="K42" s="359">
        <f>Fluxo_de_Caixa_Janeiro34591171012[[#This Row],[SETEMBRO]]</f>
        <v>0</v>
      </c>
      <c r="L42" s="359">
        <f>Fluxo_de_Caixa_Janeiro3459117101215[[#This Row],[OUTUBRO]]</f>
        <v>0</v>
      </c>
      <c r="M42" s="359">
        <f>Fluxo_de_Caixa_Janeiro345911710121516[[#This Row],[NOVEMBRO]]</f>
        <v>0</v>
      </c>
      <c r="N42" s="361">
        <f>Fluxo_de_Caixa_Janeiro34591171012151619[[#This Row],[DEZEMBRO]]</f>
        <v>0</v>
      </c>
      <c r="O42" s="394">
        <f>SUM(Fluxo_de_Caixa_Janeiro31020817[[#This Row],[Janeiro]:[Dezembro]])</f>
        <v>0</v>
      </c>
      <c r="P42" s="140" t="str">
        <f t="shared" si="1"/>
        <v>0,00%</v>
      </c>
      <c r="Q42" s="395"/>
      <c r="R42" s="32"/>
    </row>
    <row r="43" spans="1:18" hidden="1" x14ac:dyDescent="0.25">
      <c r="B43" s="364">
        <f>Fluxo_de_Caixa_Janeiro[[#This Row],[Fluxo de Caixa 2026 CTR]]</f>
        <v>0</v>
      </c>
      <c r="C43" s="358"/>
      <c r="D43" s="359"/>
      <c r="E43" s="359"/>
      <c r="F43" s="359"/>
      <c r="G43" s="359"/>
      <c r="H43" s="359"/>
      <c r="I43" s="358">
        <f>Fluxo_de_Caixa_Janeiro3459117[[#This Row],[JULHO]]</f>
        <v>0</v>
      </c>
      <c r="J43" s="359">
        <f>Fluxo_de_Caixa_Janeiro345911710[[#This Row],[AGOSTO]]</f>
        <v>0</v>
      </c>
      <c r="K43" s="359">
        <f>Fluxo_de_Caixa_Janeiro34591171012[[#This Row],[SETEMBRO]]</f>
        <v>0</v>
      </c>
      <c r="L43" s="359">
        <f>Fluxo_de_Caixa_Janeiro3459117101215[[#This Row],[OUTUBRO]]</f>
        <v>0</v>
      </c>
      <c r="M43" s="359">
        <f>Fluxo_de_Caixa_Janeiro345911710121516[[#This Row],[NOVEMBRO]]</f>
        <v>0</v>
      </c>
      <c r="N43" s="361">
        <f>Fluxo_de_Caixa_Janeiro34591171012151619[[#This Row],[DEZEMBRO]]</f>
        <v>0</v>
      </c>
      <c r="O43" s="394">
        <f>SUM(Fluxo_de_Caixa_Janeiro31020817[[#This Row],[Janeiro]:[Dezembro]])</f>
        <v>0</v>
      </c>
      <c r="P43" s="140" t="str">
        <f t="shared" si="1"/>
        <v>0,00%</v>
      </c>
      <c r="Q43" s="395"/>
      <c r="R43" s="32"/>
    </row>
    <row r="44" spans="1:18" hidden="1" x14ac:dyDescent="0.25">
      <c r="B44" s="364">
        <f>Fluxo_de_Caixa_Janeiro[[#This Row],[Fluxo de Caixa 2026 CTR]]</f>
        <v>0</v>
      </c>
      <c r="C44" s="358"/>
      <c r="D44" s="359"/>
      <c r="E44" s="359"/>
      <c r="F44" s="359"/>
      <c r="G44" s="359"/>
      <c r="H44" s="359"/>
      <c r="I44" s="358">
        <f>Fluxo_de_Caixa_Janeiro3459117[[#This Row],[JULHO]]</f>
        <v>0</v>
      </c>
      <c r="J44" s="359">
        <f>Fluxo_de_Caixa_Janeiro345911710[[#This Row],[AGOSTO]]</f>
        <v>0</v>
      </c>
      <c r="K44" s="359">
        <f>Fluxo_de_Caixa_Janeiro34591171012[[#This Row],[SETEMBRO]]</f>
        <v>0</v>
      </c>
      <c r="L44" s="359">
        <f>Fluxo_de_Caixa_Janeiro3459117101215[[#This Row],[OUTUBRO]]</f>
        <v>0</v>
      </c>
      <c r="M44" s="359">
        <f>Fluxo_de_Caixa_Janeiro345911710121516[[#This Row],[NOVEMBRO]]</f>
        <v>0</v>
      </c>
      <c r="N44" s="361">
        <f>Fluxo_de_Caixa_Janeiro34591171012151619[[#This Row],[DEZEMBRO]]</f>
        <v>0</v>
      </c>
      <c r="O44" s="394">
        <f>SUM(Fluxo_de_Caixa_Janeiro31020817[[#This Row],[Janeiro]:[Dezembro]])</f>
        <v>0</v>
      </c>
      <c r="P44" s="140" t="str">
        <f t="shared" si="1"/>
        <v>0,00%</v>
      </c>
      <c r="Q44" s="395"/>
      <c r="R44" s="32"/>
    </row>
    <row r="45" spans="1:18" hidden="1" x14ac:dyDescent="0.25">
      <c r="B45" s="51">
        <f>Fluxo_de_Caixa_Janeiro[[#This Row],[Fluxo de Caixa 2026 CTR]]</f>
        <v>0</v>
      </c>
      <c r="C45" s="35"/>
      <c r="D45" s="62"/>
      <c r="E45" s="62"/>
      <c r="F45" s="62"/>
      <c r="G45" s="62"/>
      <c r="H45" s="62"/>
      <c r="I45" s="35">
        <f>Fluxo_de_Caixa_Janeiro3459117[[#This Row],[JULHO]]</f>
        <v>0</v>
      </c>
      <c r="J45" s="62">
        <f>Fluxo_de_Caixa_Janeiro345911710[[#This Row],[AGOSTO]]</f>
        <v>0</v>
      </c>
      <c r="K45" s="62">
        <f>Fluxo_de_Caixa_Janeiro34591171012[[#This Row],[SETEMBRO]]</f>
        <v>0</v>
      </c>
      <c r="L45" s="62">
        <f>Fluxo_de_Caixa_Janeiro3459117101215[[#This Row],[OUTUBRO]]</f>
        <v>0</v>
      </c>
      <c r="M45" s="62">
        <f>Fluxo_de_Caixa_Janeiro345911710121516[[#This Row],[NOVEMBRO]]</f>
        <v>0</v>
      </c>
      <c r="N45" s="119">
        <f>Fluxo_de_Caixa_Janeiro34591171012151619[[#This Row],[DEZEMBRO]]</f>
        <v>0</v>
      </c>
      <c r="O45" s="214">
        <f>SUM(Fluxo_de_Caixa_Janeiro31020817[[#This Row],[Janeiro]:[Dezembro]])</f>
        <v>0</v>
      </c>
      <c r="P45" s="140" t="str">
        <f t="shared" si="1"/>
        <v>0,00%</v>
      </c>
      <c r="Q45" s="63"/>
      <c r="R45" s="32" t="str">
        <f>IF(Fluxo_de_Caixa_Janeiro31020817[[#This Row],[% ACUMULADO  2º SEMEST 2025]]&gt;=Fluxo_de_Caixa_Janeiro31020817[[#This Row],[Coluna1]],"VERDADEIRO","FALSO")</f>
        <v>VERDADEIRO</v>
      </c>
    </row>
    <row r="46" spans="1:18" hidden="1" x14ac:dyDescent="0.25">
      <c r="B46" s="51">
        <f>Fluxo_de_Caixa_Janeiro[[#This Row],[Fluxo de Caixa 2026 CTR]]</f>
        <v>0</v>
      </c>
      <c r="C46" s="35"/>
      <c r="D46" s="62"/>
      <c r="E46" s="62"/>
      <c r="F46" s="62"/>
      <c r="G46" s="62"/>
      <c r="H46" s="62"/>
      <c r="I46" s="35">
        <f>Fluxo_de_Caixa_Janeiro3459117[[#This Row],[JULHO]]</f>
        <v>0</v>
      </c>
      <c r="J46" s="62">
        <f>Fluxo_de_Caixa_Janeiro345911710[[#This Row],[AGOSTO]]</f>
        <v>0</v>
      </c>
      <c r="K46" s="62">
        <f>Fluxo_de_Caixa_Janeiro34591171012[[#This Row],[SETEMBRO]]</f>
        <v>0</v>
      </c>
      <c r="L46" s="62">
        <f>Fluxo_de_Caixa_Janeiro3459117101215[[#This Row],[OUTUBRO]]</f>
        <v>0</v>
      </c>
      <c r="M46" s="62">
        <f>Fluxo_de_Caixa_Janeiro345911710121516[[#This Row],[NOVEMBRO]]</f>
        <v>0</v>
      </c>
      <c r="N46" s="119">
        <f>Fluxo_de_Caixa_Janeiro34591171012151619[[#This Row],[DEZEMBRO]]</f>
        <v>0</v>
      </c>
      <c r="O46" s="214">
        <f>SUM(Fluxo_de_Caixa_Janeiro31020817[[#This Row],[Janeiro]:[Dezembro]])</f>
        <v>0</v>
      </c>
      <c r="P46" s="140" t="str">
        <f t="shared" si="1"/>
        <v>0,00%</v>
      </c>
      <c r="Q46" s="63"/>
      <c r="R46" s="32" t="str">
        <f>IF(Fluxo_de_Caixa_Janeiro31020817[[#This Row],[% ACUMULADO  2º SEMEST 2025]]&gt;=Fluxo_de_Caixa_Janeiro31020817[[#This Row],[Coluna1]],"VERDADEIRO","FALSO")</f>
        <v>VERDADEIRO</v>
      </c>
    </row>
    <row r="47" spans="1:18" ht="15.75" hidden="1" thickBot="1" x14ac:dyDescent="0.3">
      <c r="B47" s="51">
        <f>Fluxo_de_Caixa_Janeiro[[#This Row],[Fluxo de Caixa 2026 CTR]]</f>
        <v>0</v>
      </c>
      <c r="C47" s="36"/>
      <c r="D47" s="82"/>
      <c r="E47" s="82"/>
      <c r="F47" s="82"/>
      <c r="G47" s="82"/>
      <c r="H47" s="82"/>
      <c r="I47" s="36">
        <f>Fluxo_de_Caixa_Janeiro3459117[[#This Row],[JULHO]]</f>
        <v>0</v>
      </c>
      <c r="J47" s="82">
        <f>Fluxo_de_Caixa_Janeiro345911710[[#This Row],[AGOSTO]]</f>
        <v>0</v>
      </c>
      <c r="K47" s="82">
        <f>Fluxo_de_Caixa_Janeiro34591171012[[#This Row],[SETEMBRO]]</f>
        <v>0</v>
      </c>
      <c r="L47" s="82">
        <f>Fluxo_de_Caixa_Janeiro3459117101215[[#This Row],[OUTUBRO]]</f>
        <v>0</v>
      </c>
      <c r="M47" s="82">
        <f>Fluxo_de_Caixa_Janeiro345911710121516[[#This Row],[NOVEMBRO]]</f>
        <v>0</v>
      </c>
      <c r="N47" s="120">
        <f>Fluxo_de_Caixa_Janeiro34591171012151619[[#This Row],[DEZEMBRO]]</f>
        <v>0</v>
      </c>
      <c r="O47" s="215">
        <f>SUM(Fluxo_de_Caixa_Janeiro31020817[[#This Row],[Janeiro]:[Dezembro]])</f>
        <v>0</v>
      </c>
      <c r="P47" s="141" t="str">
        <f t="shared" si="1"/>
        <v>0,00%</v>
      </c>
      <c r="Q47" s="86"/>
      <c r="R47" s="32" t="str">
        <f>IF(Fluxo_de_Caixa_Janeiro31020817[[#This Row],[% ACUMULADO  2º SEMEST 2025]]&gt;=Fluxo_de_Caixa_Janeiro31020817[[#This Row],[Coluna1]],"VERDADEIRO","FALSO")</f>
        <v>VERDADEIRO</v>
      </c>
    </row>
    <row r="48" spans="1:18" s="1" customFormat="1" ht="24" thickBot="1" x14ac:dyDescent="0.4">
      <c r="A48" s="11" t="s">
        <v>55</v>
      </c>
      <c r="B48" s="48" t="str">
        <f>Fluxo_de_Caixa_Janeiro[[#This Row],[Fluxo de Caixa 2026 CTR]]</f>
        <v>1.5. Receita de Garantias</v>
      </c>
      <c r="C48" s="38"/>
      <c r="D48" s="87"/>
      <c r="E48" s="87"/>
      <c r="F48" s="87"/>
      <c r="G48" s="87"/>
      <c r="H48" s="87"/>
      <c r="I48" s="38">
        <f>Fluxo_de_Caixa_Janeiro3459117[[#This Row],[JULHO]]</f>
        <v>0</v>
      </c>
      <c r="J48" s="87">
        <f>Fluxo_de_Caixa_Janeiro345911710[[#This Row],[AGOSTO]]</f>
        <v>0</v>
      </c>
      <c r="K48" s="87">
        <f>Fluxo_de_Caixa_Janeiro34591171012[[#This Row],[SETEMBRO]]</f>
        <v>0</v>
      </c>
      <c r="L48" s="87">
        <f>Fluxo_de_Caixa_Janeiro3459117101215[[#This Row],[OUTUBRO]]</f>
        <v>0</v>
      </c>
      <c r="M48" s="87">
        <f>Fluxo_de_Caixa_Janeiro345911710121516[[#This Row],[NOVEMBRO]]</f>
        <v>0</v>
      </c>
      <c r="N48" s="125">
        <f>Fluxo_de_Caixa_Janeiro34591171012151619[[#This Row],[DEZEMBRO]]</f>
        <v>0</v>
      </c>
      <c r="O48" s="216">
        <f>SUM(Fluxo_de_Caixa_Janeiro31020817[[#This Row],[Janeiro]:[Dezembro]])</f>
        <v>0</v>
      </c>
      <c r="P48" s="19">
        <f>SUM(P49:P51)</f>
        <v>0</v>
      </c>
      <c r="Q48" s="69"/>
      <c r="R48" s="32"/>
    </row>
    <row r="49" spans="1:18" x14ac:dyDescent="0.25">
      <c r="B49" s="49" t="str">
        <f>Fluxo_de_Caixa_Janeiro[[#This Row],[Fluxo de Caixa 2026 CTR]]</f>
        <v>1.2.01. RECEITA EM DINHEIRO</v>
      </c>
      <c r="C49" s="41"/>
      <c r="D49" s="81"/>
      <c r="E49" s="81"/>
      <c r="F49" s="81"/>
      <c r="G49" s="81"/>
      <c r="H49" s="81"/>
      <c r="I49" s="41">
        <f>Fluxo_de_Caixa_Janeiro3459117[[#This Row],[JULHO]]</f>
        <v>0</v>
      </c>
      <c r="J49" s="81">
        <f>Fluxo_de_Caixa_Janeiro345911710[[#This Row],[AGOSTO]]</f>
        <v>0</v>
      </c>
      <c r="K49" s="81">
        <f>Fluxo_de_Caixa_Janeiro34591171012[[#This Row],[SETEMBRO]]</f>
        <v>0</v>
      </c>
      <c r="L49" s="81">
        <f>Fluxo_de_Caixa_Janeiro3459117101215[[#This Row],[OUTUBRO]]</f>
        <v>0</v>
      </c>
      <c r="M49" s="81">
        <f>Fluxo_de_Caixa_Janeiro345911710121516[[#This Row],[NOVEMBRO]]</f>
        <v>0</v>
      </c>
      <c r="N49" s="118">
        <f>Fluxo_de_Caixa_Janeiro34591171012151619[[#This Row],[DEZEMBRO]]</f>
        <v>0</v>
      </c>
      <c r="O49" s="213">
        <f>SUM(Fluxo_de_Caixa_Janeiro31020817[[#This Row],[Janeiro]:[Dezembro]])</f>
        <v>0</v>
      </c>
      <c r="P49" s="29" t="str">
        <f>IF(O49=0,"0,00%",O49/$O$332)</f>
        <v>0,00%</v>
      </c>
      <c r="Q49" s="63"/>
      <c r="R49" s="32" t="str">
        <f>IF(Fluxo_de_Caixa_Janeiro31020817[[#This Row],[% ACUMULADO  2º SEMEST 2025]]&gt;=Fluxo_de_Caixa_Janeiro31020817[[#This Row],[Coluna1]],"VERDADEIRO","FALSO")</f>
        <v>VERDADEIRO</v>
      </c>
    </row>
    <row r="50" spans="1:18" ht="15.75" thickBot="1" x14ac:dyDescent="0.3">
      <c r="B50" s="50" t="str">
        <f>Fluxo_de_Caixa_Janeiro[[#This Row],[Fluxo de Caixa 2026 CTR]]</f>
        <v xml:space="preserve">1.2.02. RECEITA EM MERCADORIA </v>
      </c>
      <c r="C50" s="35"/>
      <c r="D50" s="62"/>
      <c r="E50" s="62"/>
      <c r="F50" s="62"/>
      <c r="G50" s="62"/>
      <c r="H50" s="62"/>
      <c r="I50" s="35">
        <f>Fluxo_de_Caixa_Janeiro3459117[[#This Row],[JULHO]]</f>
        <v>0</v>
      </c>
      <c r="J50" s="62">
        <f>Fluxo_de_Caixa_Janeiro345911710[[#This Row],[AGOSTO]]</f>
        <v>0</v>
      </c>
      <c r="K50" s="62">
        <f>Fluxo_de_Caixa_Janeiro34591171012[[#This Row],[SETEMBRO]]</f>
        <v>0</v>
      </c>
      <c r="L50" s="62">
        <f>Fluxo_de_Caixa_Janeiro3459117101215[[#This Row],[OUTUBRO]]</f>
        <v>0</v>
      </c>
      <c r="M50" s="62">
        <f>Fluxo_de_Caixa_Janeiro345911710121516[[#This Row],[NOVEMBRO]]</f>
        <v>0</v>
      </c>
      <c r="N50" s="119">
        <f>Fluxo_de_Caixa_Janeiro34591171012151619[[#This Row],[DEZEMBRO]]</f>
        <v>0</v>
      </c>
      <c r="O50" s="214">
        <f>SUM(Fluxo_de_Caixa_Janeiro31020817[[#This Row],[Janeiro]:[Dezembro]])</f>
        <v>0</v>
      </c>
      <c r="P50" s="140" t="str">
        <f>IF(O50=0,"0,00%",O50/$O$332)</f>
        <v>0,00%</v>
      </c>
      <c r="Q50" s="63"/>
      <c r="R50" s="32" t="str">
        <f>IF(Fluxo_de_Caixa_Janeiro31020817[[#This Row],[% ACUMULADO  2º SEMEST 2025]]&gt;=Fluxo_de_Caixa_Janeiro31020817[[#This Row],[Coluna1]],"VERDADEIRO","FALSO")</f>
        <v>VERDADEIRO</v>
      </c>
    </row>
    <row r="51" spans="1:18" ht="15.75" hidden="1" thickBot="1" x14ac:dyDescent="0.3">
      <c r="B51" s="58">
        <f>Fluxo_de_Caixa_Janeiro[[#This Row],[Fluxo de Caixa 2026 CTR]]</f>
        <v>0</v>
      </c>
      <c r="C51" s="36"/>
      <c r="D51" s="82"/>
      <c r="E51" s="82"/>
      <c r="F51" s="82"/>
      <c r="G51" s="82"/>
      <c r="H51" s="82"/>
      <c r="I51" s="36">
        <f>Fluxo_de_Caixa_Janeiro3459117[[#This Row],[JULHO]]</f>
        <v>0</v>
      </c>
      <c r="J51" s="82">
        <f>Fluxo_de_Caixa_Janeiro345911710[[#This Row],[AGOSTO]]</f>
        <v>0</v>
      </c>
      <c r="K51" s="82">
        <f>Fluxo_de_Caixa_Janeiro34591171012[[#This Row],[SETEMBRO]]</f>
        <v>0</v>
      </c>
      <c r="L51" s="82">
        <f>Fluxo_de_Caixa_Janeiro3459117101215[[#This Row],[OUTUBRO]]</f>
        <v>0</v>
      </c>
      <c r="M51" s="82">
        <f>Fluxo_de_Caixa_Janeiro345911710121516[[#This Row],[NOVEMBRO]]</f>
        <v>0</v>
      </c>
      <c r="N51" s="120">
        <f>Fluxo_de_Caixa_Janeiro34591171012151619[[#This Row],[DEZEMBRO]]</f>
        <v>0</v>
      </c>
      <c r="O51" s="215">
        <f>SUM(Fluxo_de_Caixa_Janeiro31020817[[#This Row],[Janeiro]:[Dezembro]])</f>
        <v>0</v>
      </c>
      <c r="P51" s="142" t="str">
        <f>IF(O51=0,"0,00%",O51/$O$332)</f>
        <v>0,00%</v>
      </c>
      <c r="Q51" s="86"/>
      <c r="R51" s="32" t="str">
        <f>IF(Fluxo_de_Caixa_Janeiro31020817[[#This Row],[% ACUMULADO  2º SEMEST 2025]]&gt;=Fluxo_de_Caixa_Janeiro31020817[[#This Row],[Coluna1]],"VERDADEIRO","FALSO")</f>
        <v>VERDADEIRO</v>
      </c>
    </row>
    <row r="52" spans="1:18" s="2" customFormat="1" ht="24" thickBot="1" x14ac:dyDescent="0.4">
      <c r="A52" s="12" t="s">
        <v>22</v>
      </c>
      <c r="B52" s="53" t="str">
        <f>Fluxo_de_Caixa_Janeiro[[#This Row],[Fluxo de Caixa 2026 CTR]]</f>
        <v>2.1. Despesa Com Custo de Aquisição</v>
      </c>
      <c r="C52" s="42"/>
      <c r="D52" s="88"/>
      <c r="E52" s="88"/>
      <c r="F52" s="88"/>
      <c r="G52" s="88"/>
      <c r="H52" s="88"/>
      <c r="I52" s="42">
        <f>Fluxo_de_Caixa_Janeiro3459117[[#This Row],[JULHO]]</f>
        <v>0</v>
      </c>
      <c r="J52" s="88">
        <f>Fluxo_de_Caixa_Janeiro345911710[[#This Row],[AGOSTO]]</f>
        <v>0</v>
      </c>
      <c r="K52" s="88">
        <f>Fluxo_de_Caixa_Janeiro34591171012[[#This Row],[SETEMBRO]]</f>
        <v>0</v>
      </c>
      <c r="L52" s="88">
        <f>Fluxo_de_Caixa_Janeiro3459117101215[[#This Row],[OUTUBRO]]</f>
        <v>0</v>
      </c>
      <c r="M52" s="88">
        <f>Fluxo_de_Caixa_Janeiro345911710121516[[#This Row],[NOVEMBRO]]</f>
        <v>0</v>
      </c>
      <c r="N52" s="126">
        <f>Fluxo_de_Caixa_Janeiro34591171012151619[[#This Row],[DEZEMBRO]]</f>
        <v>0</v>
      </c>
      <c r="O52" s="217">
        <f>SUM(Fluxo_de_Caixa_Janeiro31020817[[#This Row],[Janeiro]:[Dezembro]])</f>
        <v>0</v>
      </c>
      <c r="P52" s="21">
        <f>-IFERROR(O52/$O$27,"0,00")</f>
        <v>0</v>
      </c>
      <c r="Q52" s="70"/>
      <c r="R52" s="32" t="str">
        <f>IF(Fluxo_de_Caixa_Janeiro31020817[[#This Row],[% ACUMULADO  2º SEMEST 2025]]&lt;=Fluxo_de_Caixa_Janeiro31020817[[#This Row],[Coluna1]],"VERDADEIRO","FALSO")</f>
        <v>VERDADEIRO</v>
      </c>
    </row>
    <row r="53" spans="1:18" x14ac:dyDescent="0.25">
      <c r="B53" s="166" t="str">
        <f>Fluxo_de_Caixa_Janeiro[[#This Row],[Fluxo de Caixa 2026 CTR]]</f>
        <v>2.1.01.FORNECEDORES DE MERCADORIAS REVENDA</v>
      </c>
      <c r="C53" s="41"/>
      <c r="D53" s="81"/>
      <c r="E53" s="81"/>
      <c r="F53" s="81"/>
      <c r="G53" s="81"/>
      <c r="H53" s="81"/>
      <c r="I53" s="41">
        <f>Fluxo_de_Caixa_Janeiro3459117[[#This Row],[JULHO]]</f>
        <v>0</v>
      </c>
      <c r="J53" s="81">
        <f>Fluxo_de_Caixa_Janeiro345911710[[#This Row],[AGOSTO]]</f>
        <v>0</v>
      </c>
      <c r="K53" s="81">
        <f>Fluxo_de_Caixa_Janeiro34591171012[[#This Row],[SETEMBRO]]</f>
        <v>0</v>
      </c>
      <c r="L53" s="81">
        <f>Fluxo_de_Caixa_Janeiro3459117101215[[#This Row],[OUTUBRO]]</f>
        <v>0</v>
      </c>
      <c r="M53" s="81">
        <f>Fluxo_de_Caixa_Janeiro345911710121516[[#This Row],[NOVEMBRO]]</f>
        <v>0</v>
      </c>
      <c r="N53" s="118">
        <f>Fluxo_de_Caixa_Janeiro34591171012151619[[#This Row],[DEZEMBRO]]</f>
        <v>0</v>
      </c>
      <c r="O53" s="218">
        <f>SUM(Fluxo_de_Caixa_Janeiro31020817[[#This Row],[Janeiro]:[Dezembro]])</f>
        <v>0</v>
      </c>
      <c r="P53" s="192" t="str">
        <f t="shared" ref="P53:P59" si="2">IFERROR(O53/$O$27,"0,00%")</f>
        <v>0,00%</v>
      </c>
      <c r="Q53" s="71"/>
      <c r="R53" s="32" t="str">
        <f>IF(Fluxo_de_Caixa_Janeiro31020817[[#This Row],[% ACUMULADO  2º SEMEST 2025]]&lt;=Fluxo_de_Caixa_Janeiro31020817[[#This Row],[Coluna1]],"VERDADEIRO","FALSO")</f>
        <v>FALSO</v>
      </c>
    </row>
    <row r="54" spans="1:18" x14ac:dyDescent="0.25">
      <c r="B54" s="52" t="str">
        <f>Fluxo_de_Caixa_Janeiro[[#This Row],[Fluxo de Caixa 2026 CTR]]</f>
        <v>2.1.02.ADIANT. FORNEC. MERCA. REVENDA</v>
      </c>
      <c r="C54" s="35"/>
      <c r="D54" s="62"/>
      <c r="E54" s="62"/>
      <c r="F54" s="62"/>
      <c r="G54" s="62"/>
      <c r="H54" s="62"/>
      <c r="I54" s="35">
        <f>Fluxo_de_Caixa_Janeiro3459117[[#This Row],[JULHO]]</f>
        <v>0</v>
      </c>
      <c r="J54" s="62">
        <f>Fluxo_de_Caixa_Janeiro345911710[[#This Row],[AGOSTO]]</f>
        <v>0</v>
      </c>
      <c r="K54" s="62">
        <f>Fluxo_de_Caixa_Janeiro34591171012[[#This Row],[SETEMBRO]]</f>
        <v>0</v>
      </c>
      <c r="L54" s="62">
        <f>Fluxo_de_Caixa_Janeiro3459117101215[[#This Row],[OUTUBRO]]</f>
        <v>0</v>
      </c>
      <c r="M54" s="62">
        <f>Fluxo_de_Caixa_Janeiro345911710121516[[#This Row],[NOVEMBRO]]</f>
        <v>0</v>
      </c>
      <c r="N54" s="119">
        <f>Fluxo_de_Caixa_Janeiro34591171012151619[[#This Row],[DEZEMBRO]]</f>
        <v>0</v>
      </c>
      <c r="O54" s="219">
        <f>SUM(Fluxo_de_Caixa_Janeiro31020817[[#This Row],[Janeiro]:[Dezembro]])</f>
        <v>0</v>
      </c>
      <c r="P54" s="192" t="str">
        <f t="shared" si="2"/>
        <v>0,00%</v>
      </c>
      <c r="Q54" s="71"/>
      <c r="R54" s="32" t="str">
        <f>IF(Fluxo_de_Caixa_Janeiro31020817[[#This Row],[% ACUMULADO  2º SEMEST 2025]]&lt;=Fluxo_de_Caixa_Janeiro31020817[[#This Row],[Coluna1]],"VERDADEIRO","FALSO")</f>
        <v>FALSO</v>
      </c>
    </row>
    <row r="55" spans="1:18" x14ac:dyDescent="0.25">
      <c r="B55" s="52" t="str">
        <f>Fluxo_de_Caixa_Janeiro[[#This Row],[Fluxo de Caixa 2026 CTR]]</f>
        <v>2.1.03.TRANSPORTADORA MERCA. REVENDA</v>
      </c>
      <c r="C55" s="35"/>
      <c r="D55" s="62"/>
      <c r="E55" s="62"/>
      <c r="F55" s="62"/>
      <c r="G55" s="62"/>
      <c r="H55" s="62"/>
      <c r="I55" s="35">
        <f>Fluxo_de_Caixa_Janeiro3459117[[#This Row],[JULHO]]</f>
        <v>0</v>
      </c>
      <c r="J55" s="62">
        <f>Fluxo_de_Caixa_Janeiro345911710[[#This Row],[AGOSTO]]</f>
        <v>0</v>
      </c>
      <c r="K55" s="62">
        <f>Fluxo_de_Caixa_Janeiro34591171012[[#This Row],[SETEMBRO]]</f>
        <v>0</v>
      </c>
      <c r="L55" s="62">
        <f>Fluxo_de_Caixa_Janeiro3459117101215[[#This Row],[OUTUBRO]]</f>
        <v>0</v>
      </c>
      <c r="M55" s="62">
        <f>Fluxo_de_Caixa_Janeiro345911710121516[[#This Row],[NOVEMBRO]]</f>
        <v>0</v>
      </c>
      <c r="N55" s="119">
        <f>Fluxo_de_Caixa_Janeiro34591171012151619[[#This Row],[DEZEMBRO]]</f>
        <v>0</v>
      </c>
      <c r="O55" s="219">
        <f>SUM(Fluxo_de_Caixa_Janeiro31020817[[#This Row],[Janeiro]:[Dezembro]])</f>
        <v>0</v>
      </c>
      <c r="P55" s="192" t="str">
        <f t="shared" si="2"/>
        <v>0,00%</v>
      </c>
      <c r="Q55" s="71"/>
      <c r="R55" s="32" t="str">
        <f>IF(Fluxo_de_Caixa_Janeiro31020817[[#This Row],[% ACUMULADO  2º SEMEST 2025]]&lt;=Fluxo_de_Caixa_Janeiro31020817[[#This Row],[Coluna1]],"VERDADEIRO","FALSO")</f>
        <v>FALSO</v>
      </c>
    </row>
    <row r="56" spans="1:18" x14ac:dyDescent="0.25">
      <c r="B56" s="52" t="str">
        <f>Fluxo_de_Caixa_Janeiro[[#This Row],[Fluxo de Caixa 2026 CTR]]</f>
        <v>2.1.04.OUTROS CUSTOS DE MERC.REVENDA</v>
      </c>
      <c r="C56" s="35"/>
      <c r="D56" s="62"/>
      <c r="E56" s="62"/>
      <c r="F56" s="62"/>
      <c r="G56" s="62"/>
      <c r="H56" s="62"/>
      <c r="I56" s="35">
        <f>Fluxo_de_Caixa_Janeiro3459117[[#This Row],[JULHO]]</f>
        <v>0</v>
      </c>
      <c r="J56" s="62">
        <f>Fluxo_de_Caixa_Janeiro345911710[[#This Row],[AGOSTO]]</f>
        <v>0</v>
      </c>
      <c r="K56" s="62">
        <f>Fluxo_de_Caixa_Janeiro34591171012[[#This Row],[SETEMBRO]]</f>
        <v>0</v>
      </c>
      <c r="L56" s="62">
        <f>Fluxo_de_Caixa_Janeiro3459117101215[[#This Row],[OUTUBRO]]</f>
        <v>0</v>
      </c>
      <c r="M56" s="62">
        <f>Fluxo_de_Caixa_Janeiro345911710121516[[#This Row],[NOVEMBRO]]</f>
        <v>0</v>
      </c>
      <c r="N56" s="119">
        <f>Fluxo_de_Caixa_Janeiro34591171012151619[[#This Row],[DEZEMBRO]]</f>
        <v>0</v>
      </c>
      <c r="O56" s="219">
        <f>SUM(Fluxo_de_Caixa_Janeiro31020817[[#This Row],[Janeiro]:[Dezembro]])</f>
        <v>0</v>
      </c>
      <c r="P56" s="192" t="str">
        <f t="shared" si="2"/>
        <v>0,00%</v>
      </c>
      <c r="Q56" s="71"/>
      <c r="R56" s="32" t="str">
        <f>IF(Fluxo_de_Caixa_Janeiro31020817[[#This Row],[% ACUMULADO  2º SEMEST 2025]]&lt;=Fluxo_de_Caixa_Janeiro31020817[[#This Row],[Coluna1]],"VERDADEIRO","FALSO")</f>
        <v>FALSO</v>
      </c>
    </row>
    <row r="57" spans="1:18" ht="15.75" thickBot="1" x14ac:dyDescent="0.3">
      <c r="B57" s="52" t="str">
        <f>Fluxo_de_Caixa_Janeiro[[#This Row],[Fluxo de Caixa 2026 CTR]]</f>
        <v>2.1.05.TRANSFE DE MERCAD REVENDA MATRIZ</v>
      </c>
      <c r="C57" s="35"/>
      <c r="D57" s="62"/>
      <c r="E57" s="62"/>
      <c r="F57" s="62"/>
      <c r="G57" s="62"/>
      <c r="H57" s="62"/>
      <c r="I57" s="35">
        <f>Fluxo_de_Caixa_Janeiro3459117[[#This Row],[JULHO]]</f>
        <v>0</v>
      </c>
      <c r="J57" s="62">
        <f>Fluxo_de_Caixa_Janeiro345911710[[#This Row],[AGOSTO]]</f>
        <v>0</v>
      </c>
      <c r="K57" s="62">
        <f>Fluxo_de_Caixa_Janeiro34591171012[[#This Row],[SETEMBRO]]</f>
        <v>0</v>
      </c>
      <c r="L57" s="62">
        <f>Fluxo_de_Caixa_Janeiro3459117101215[[#This Row],[OUTUBRO]]</f>
        <v>0</v>
      </c>
      <c r="M57" s="62">
        <f>Fluxo_de_Caixa_Janeiro345911710121516[[#This Row],[NOVEMBRO]]</f>
        <v>0</v>
      </c>
      <c r="N57" s="119">
        <f>Fluxo_de_Caixa_Janeiro34591171012151619[[#This Row],[DEZEMBRO]]</f>
        <v>0</v>
      </c>
      <c r="O57" s="219">
        <f>SUM(Fluxo_de_Caixa_Janeiro31020817[[#This Row],[Janeiro]:[Dezembro]])</f>
        <v>0</v>
      </c>
      <c r="P57" s="192" t="str">
        <f t="shared" si="2"/>
        <v>0,00%</v>
      </c>
      <c r="Q57" s="71"/>
      <c r="R57" s="32" t="str">
        <f>IF(Fluxo_de_Caixa_Janeiro31020817[[#This Row],[% ACUMULADO  2º SEMEST 2025]]&lt;=Fluxo_de_Caixa_Janeiro31020817[[#This Row],[Coluna1]],"VERDADEIRO","FALSO")</f>
        <v>FALSO</v>
      </c>
    </row>
    <row r="58" spans="1:18" hidden="1" x14ac:dyDescent="0.25">
      <c r="B58" s="52">
        <f>Fluxo_de_Caixa_Janeiro[[#This Row],[Fluxo de Caixa 2026 CTR]]</f>
        <v>0</v>
      </c>
      <c r="C58" s="35"/>
      <c r="D58" s="62"/>
      <c r="E58" s="62"/>
      <c r="F58" s="62"/>
      <c r="G58" s="62"/>
      <c r="H58" s="62"/>
      <c r="I58" s="35">
        <f>Fluxo_de_Caixa_Janeiro3459117[[#This Row],[JULHO]]</f>
        <v>0</v>
      </c>
      <c r="J58" s="62">
        <f>Fluxo_de_Caixa_Janeiro345911710[[#This Row],[AGOSTO]]</f>
        <v>0</v>
      </c>
      <c r="K58" s="62">
        <f>Fluxo_de_Caixa_Janeiro34591171012[[#This Row],[SETEMBRO]]</f>
        <v>0</v>
      </c>
      <c r="L58" s="62">
        <f>Fluxo_de_Caixa_Janeiro3459117101215[[#This Row],[OUTUBRO]]</f>
        <v>0</v>
      </c>
      <c r="M58" s="62">
        <f>Fluxo_de_Caixa_Janeiro345911710121516[[#This Row],[NOVEMBRO]]</f>
        <v>0</v>
      </c>
      <c r="N58" s="119">
        <f>Fluxo_de_Caixa_Janeiro34591171012151619[[#This Row],[DEZEMBRO]]</f>
        <v>0</v>
      </c>
      <c r="O58" s="219">
        <f>SUM(Fluxo_de_Caixa_Janeiro31020817[[#This Row],[Janeiro]:[Dezembro]])</f>
        <v>0</v>
      </c>
      <c r="P58" s="192" t="str">
        <f t="shared" si="2"/>
        <v>0,00%</v>
      </c>
      <c r="Q58" s="71"/>
      <c r="R58" s="32" t="str">
        <f>IF(Fluxo_de_Caixa_Janeiro31020817[[#This Row],[% ACUMULADO  2º SEMEST 2025]]&lt;=Fluxo_de_Caixa_Janeiro31020817[[#This Row],[Coluna1]],"VERDADEIRO","FALSO")</f>
        <v>FALSO</v>
      </c>
    </row>
    <row r="59" spans="1:18" ht="15.75" hidden="1" thickBot="1" x14ac:dyDescent="0.3">
      <c r="B59" s="167">
        <f>Fluxo_de_Caixa_Janeiro[[#This Row],[Fluxo de Caixa 2026 CTR]]</f>
        <v>0</v>
      </c>
      <c r="C59" s="36"/>
      <c r="D59" s="82"/>
      <c r="E59" s="82"/>
      <c r="F59" s="82"/>
      <c r="G59" s="82"/>
      <c r="H59" s="82"/>
      <c r="I59" s="36">
        <f>Fluxo_de_Caixa_Janeiro3459117[[#This Row],[JULHO]]</f>
        <v>0</v>
      </c>
      <c r="J59" s="82">
        <f>Fluxo_de_Caixa_Janeiro345911710[[#This Row],[AGOSTO]]</f>
        <v>0</v>
      </c>
      <c r="K59" s="82">
        <f>Fluxo_de_Caixa_Janeiro34591171012[[#This Row],[SETEMBRO]]</f>
        <v>0</v>
      </c>
      <c r="L59" s="82">
        <f>Fluxo_de_Caixa_Janeiro3459117101215[[#This Row],[OUTUBRO]]</f>
        <v>0</v>
      </c>
      <c r="M59" s="82">
        <f>Fluxo_de_Caixa_Janeiro345911710121516[[#This Row],[NOVEMBRO]]</f>
        <v>0</v>
      </c>
      <c r="N59" s="120">
        <f>Fluxo_de_Caixa_Janeiro34591171012151619[[#This Row],[DEZEMBRO]]</f>
        <v>0</v>
      </c>
      <c r="O59" s="220">
        <f>SUM(Fluxo_de_Caixa_Janeiro31020817[[#This Row],[Janeiro]:[Dezembro]])</f>
        <v>0</v>
      </c>
      <c r="P59" s="192" t="str">
        <f t="shared" si="2"/>
        <v>0,00%</v>
      </c>
      <c r="Q59" s="89"/>
      <c r="R59" s="32" t="str">
        <f>IF(Fluxo_de_Caixa_Janeiro31020817[[#This Row],[% ACUMULADO  2º SEMEST 2025]]&lt;=Fluxo_de_Caixa_Janeiro31020817[[#This Row],[Coluna1]],"VERDADEIRO","FALSO")</f>
        <v>FALSO</v>
      </c>
    </row>
    <row r="60" spans="1:18" s="2" customFormat="1" ht="24" thickBot="1" x14ac:dyDescent="0.4">
      <c r="A60" s="12" t="s">
        <v>10</v>
      </c>
      <c r="B60" s="53" t="str">
        <f>Fluxo_de_Caixa_Janeiro[[#This Row],[Fluxo de Caixa 2026 CTR]]</f>
        <v>2.2. Inadimplência e Perdas</v>
      </c>
      <c r="C60" s="42"/>
      <c r="D60" s="88"/>
      <c r="E60" s="88"/>
      <c r="F60" s="88"/>
      <c r="G60" s="88"/>
      <c r="H60" s="88"/>
      <c r="I60" s="42">
        <f>Fluxo_de_Caixa_Janeiro3459117[[#This Row],[JULHO]]</f>
        <v>0</v>
      </c>
      <c r="J60" s="88">
        <f>Fluxo_de_Caixa_Janeiro345911710[[#This Row],[AGOSTO]]</f>
        <v>0</v>
      </c>
      <c r="K60" s="88">
        <f>Fluxo_de_Caixa_Janeiro34591171012[[#This Row],[SETEMBRO]]</f>
        <v>0</v>
      </c>
      <c r="L60" s="88">
        <f>Fluxo_de_Caixa_Janeiro3459117101215[[#This Row],[OUTUBRO]]</f>
        <v>0</v>
      </c>
      <c r="M60" s="88">
        <f>Fluxo_de_Caixa_Janeiro345911710121516[[#This Row],[NOVEMBRO]]</f>
        <v>0</v>
      </c>
      <c r="N60" s="126">
        <f>Fluxo_de_Caixa_Janeiro34591171012151619[[#This Row],[DEZEMBRO]]</f>
        <v>0</v>
      </c>
      <c r="O60" s="217">
        <f>SUM(Fluxo_de_Caixa_Janeiro31020817[[#This Row],[Janeiro]:[Dezembro]])</f>
        <v>0</v>
      </c>
      <c r="P60" s="21">
        <f>-IFERROR(C60/$C$27,"0,00")</f>
        <v>0</v>
      </c>
      <c r="Q60" s="70"/>
      <c r="R60" s="32" t="str">
        <f>IF(Fluxo_de_Caixa_Janeiro31020817[[#This Row],[% ACUMULADO  2º SEMEST 2025]]&lt;=Fluxo_de_Caixa_Janeiro31020817[[#This Row],[Coluna1]],"VERDADEIRO","FALSO")</f>
        <v>VERDADEIRO</v>
      </c>
    </row>
    <row r="61" spans="1:18" x14ac:dyDescent="0.25">
      <c r="B61" s="166" t="str">
        <f>Fluxo_de_Caixa_Janeiro[[#This Row],[Fluxo de Caixa 2026 CTR]]</f>
        <v>2.2.01.CONTAS PERDIDAS/NÃO PAGAS</v>
      </c>
      <c r="C61" s="41"/>
      <c r="D61" s="81"/>
      <c r="E61" s="81"/>
      <c r="F61" s="81"/>
      <c r="G61" s="81"/>
      <c r="H61" s="81"/>
      <c r="I61" s="41">
        <f>Fluxo_de_Caixa_Janeiro3459117[[#This Row],[JULHO]]</f>
        <v>0</v>
      </c>
      <c r="J61" s="81">
        <f>Fluxo_de_Caixa_Janeiro345911710[[#This Row],[AGOSTO]]</f>
        <v>0</v>
      </c>
      <c r="K61" s="81">
        <f>Fluxo_de_Caixa_Janeiro34591171012[[#This Row],[SETEMBRO]]</f>
        <v>0</v>
      </c>
      <c r="L61" s="81">
        <f>Fluxo_de_Caixa_Janeiro3459117101215[[#This Row],[OUTUBRO]]</f>
        <v>0</v>
      </c>
      <c r="M61" s="81">
        <f>Fluxo_de_Caixa_Janeiro345911710121516[[#This Row],[NOVEMBRO]]</f>
        <v>0</v>
      </c>
      <c r="N61" s="118">
        <f>Fluxo_de_Caixa_Janeiro34591171012151619[[#This Row],[DEZEMBRO]]</f>
        <v>0</v>
      </c>
      <c r="O61" s="218">
        <f>SUM(Fluxo_de_Caixa_Janeiro31020817[[#This Row],[Janeiro]:[Dezembro]])</f>
        <v>0</v>
      </c>
      <c r="P61" s="192" t="str">
        <f t="shared" ref="P61:P69" si="3">IFERROR(O61/$O$27,"0,00%")</f>
        <v>0,00%</v>
      </c>
      <c r="Q61" s="71"/>
      <c r="R61" s="32" t="str">
        <f>IF(Fluxo_de_Caixa_Janeiro31020817[[#This Row],[% ACUMULADO  2º SEMEST 2025]]&lt;=Fluxo_de_Caixa_Janeiro31020817[[#This Row],[Coluna1]],"VERDADEIRO","FALSO")</f>
        <v>FALSO</v>
      </c>
    </row>
    <row r="62" spans="1:18" x14ac:dyDescent="0.25">
      <c r="B62" s="52" t="str">
        <f>Fluxo_de_Caixa_Janeiro[[#This Row],[Fluxo de Caixa 2026 CTR]]</f>
        <v>2.2.02.BOLETOS DESCONTADOS DEVOLVIDOS</v>
      </c>
      <c r="C62" s="35"/>
      <c r="D62" s="62"/>
      <c r="E62" s="62"/>
      <c r="F62" s="62"/>
      <c r="G62" s="62"/>
      <c r="H62" s="62"/>
      <c r="I62" s="35">
        <f>Fluxo_de_Caixa_Janeiro3459117[[#This Row],[JULHO]]</f>
        <v>0</v>
      </c>
      <c r="J62" s="62">
        <f>Fluxo_de_Caixa_Janeiro345911710[[#This Row],[AGOSTO]]</f>
        <v>0</v>
      </c>
      <c r="K62" s="62">
        <f>Fluxo_de_Caixa_Janeiro34591171012[[#This Row],[SETEMBRO]]</f>
        <v>0</v>
      </c>
      <c r="L62" s="62">
        <f>Fluxo_de_Caixa_Janeiro3459117101215[[#This Row],[OUTUBRO]]</f>
        <v>0</v>
      </c>
      <c r="M62" s="62">
        <f>Fluxo_de_Caixa_Janeiro345911710121516[[#This Row],[NOVEMBRO]]</f>
        <v>0</v>
      </c>
      <c r="N62" s="119">
        <f>Fluxo_de_Caixa_Janeiro34591171012151619[[#This Row],[DEZEMBRO]]</f>
        <v>0</v>
      </c>
      <c r="O62" s="219">
        <f>SUM(Fluxo_de_Caixa_Janeiro31020817[[#This Row],[Janeiro]:[Dezembro]])</f>
        <v>0</v>
      </c>
      <c r="P62" s="192" t="str">
        <f t="shared" si="3"/>
        <v>0,00%</v>
      </c>
      <c r="Q62" s="72"/>
      <c r="R62" s="32" t="str">
        <f>IF(Fluxo_de_Caixa_Janeiro31020817[[#This Row],[% ACUMULADO  2º SEMEST 2025]]&lt;=Fluxo_de_Caixa_Janeiro31020817[[#This Row],[Coluna1]],"VERDADEIRO","FALSO")</f>
        <v>FALSO</v>
      </c>
    </row>
    <row r="63" spans="1:18" x14ac:dyDescent="0.25">
      <c r="B63" s="52" t="str">
        <f>Fluxo_de_Caixa_Janeiro[[#This Row],[Fluxo de Caixa 2026 CTR]]</f>
        <v>2.2.03.CHEQUES DEVOLVIDOS</v>
      </c>
      <c r="C63" s="35"/>
      <c r="D63" s="62"/>
      <c r="E63" s="62"/>
      <c r="F63" s="62"/>
      <c r="G63" s="62"/>
      <c r="H63" s="62"/>
      <c r="I63" s="35">
        <f>Fluxo_de_Caixa_Janeiro3459117[[#This Row],[JULHO]]</f>
        <v>0</v>
      </c>
      <c r="J63" s="62">
        <f>Fluxo_de_Caixa_Janeiro345911710[[#This Row],[AGOSTO]]</f>
        <v>0</v>
      </c>
      <c r="K63" s="62">
        <f>Fluxo_de_Caixa_Janeiro34591171012[[#This Row],[SETEMBRO]]</f>
        <v>0</v>
      </c>
      <c r="L63" s="62">
        <f>Fluxo_de_Caixa_Janeiro3459117101215[[#This Row],[OUTUBRO]]</f>
        <v>0</v>
      </c>
      <c r="M63" s="62">
        <f>Fluxo_de_Caixa_Janeiro345911710121516[[#This Row],[NOVEMBRO]]</f>
        <v>0</v>
      </c>
      <c r="N63" s="119">
        <f>Fluxo_de_Caixa_Janeiro34591171012151619[[#This Row],[DEZEMBRO]]</f>
        <v>0</v>
      </c>
      <c r="O63" s="219">
        <f>SUM(Fluxo_de_Caixa_Janeiro31020817[[#This Row],[Janeiro]:[Dezembro]])</f>
        <v>0</v>
      </c>
      <c r="P63" s="192" t="str">
        <f t="shared" si="3"/>
        <v>0,00%</v>
      </c>
      <c r="Q63" s="72"/>
      <c r="R63" s="32" t="str">
        <f>IF(Fluxo_de_Caixa_Janeiro31020817[[#This Row],[% ACUMULADO  2º SEMEST 2025]]&lt;=Fluxo_de_Caixa_Janeiro31020817[[#This Row],[Coluna1]],"VERDADEIRO","FALSO")</f>
        <v>FALSO</v>
      </c>
    </row>
    <row r="64" spans="1:18" x14ac:dyDescent="0.25">
      <c r="B64" s="52" t="str">
        <f>Fluxo_de_Caixa_Janeiro[[#This Row],[Fluxo de Caixa 2026 CTR]]</f>
        <v>2.2.04.BOLETOS DESCONTADOS DEVOLVIDOS</v>
      </c>
      <c r="C64" s="35"/>
      <c r="D64" s="62"/>
      <c r="E64" s="62"/>
      <c r="F64" s="62"/>
      <c r="G64" s="62"/>
      <c r="H64" s="62"/>
      <c r="I64" s="35">
        <f>Fluxo_de_Caixa_Janeiro3459117[[#This Row],[JULHO]]</f>
        <v>0</v>
      </c>
      <c r="J64" s="62">
        <f>Fluxo_de_Caixa_Janeiro345911710[[#This Row],[AGOSTO]]</f>
        <v>0</v>
      </c>
      <c r="K64" s="62">
        <f>Fluxo_de_Caixa_Janeiro34591171012[[#This Row],[SETEMBRO]]</f>
        <v>0</v>
      </c>
      <c r="L64" s="62">
        <f>Fluxo_de_Caixa_Janeiro3459117101215[[#This Row],[OUTUBRO]]</f>
        <v>0</v>
      </c>
      <c r="M64" s="62">
        <f>Fluxo_de_Caixa_Janeiro345911710121516[[#This Row],[NOVEMBRO]]</f>
        <v>0</v>
      </c>
      <c r="N64" s="119">
        <f>Fluxo_de_Caixa_Janeiro34591171012151619[[#This Row],[DEZEMBRO]]</f>
        <v>0</v>
      </c>
      <c r="O64" s="219">
        <f>SUM(Fluxo_de_Caixa_Janeiro31020817[[#This Row],[Janeiro]:[Dezembro]])</f>
        <v>0</v>
      </c>
      <c r="P64" s="192" t="str">
        <f t="shared" si="3"/>
        <v>0,00%</v>
      </c>
      <c r="Q64" s="72"/>
      <c r="R64" s="32" t="str">
        <f>IF(Fluxo_de_Caixa_Janeiro31020817[[#This Row],[% ACUMULADO  2º SEMEST 2025]]&lt;=Fluxo_de_Caixa_Janeiro31020817[[#This Row],[Coluna1]],"VERDADEIRO","FALSO")</f>
        <v>FALSO</v>
      </c>
    </row>
    <row r="65" spans="1:18" ht="15.75" thickBot="1" x14ac:dyDescent="0.3">
      <c r="B65" s="52" t="str">
        <f>Fluxo_de_Caixa_Janeiro[[#This Row],[Fluxo de Caixa 2026 CTR]]</f>
        <v>2.2.05.PERDA,  ROUBO  E  DETERIORAÇÃO</v>
      </c>
      <c r="C65" s="35"/>
      <c r="D65" s="62"/>
      <c r="E65" s="62"/>
      <c r="F65" s="62"/>
      <c r="G65" s="62"/>
      <c r="H65" s="62"/>
      <c r="I65" s="35">
        <f>Fluxo_de_Caixa_Janeiro3459117[[#This Row],[JULHO]]</f>
        <v>0</v>
      </c>
      <c r="J65" s="62">
        <f>Fluxo_de_Caixa_Janeiro345911710[[#This Row],[AGOSTO]]</f>
        <v>0</v>
      </c>
      <c r="K65" s="62">
        <f>Fluxo_de_Caixa_Janeiro34591171012[[#This Row],[SETEMBRO]]</f>
        <v>0</v>
      </c>
      <c r="L65" s="62">
        <f>Fluxo_de_Caixa_Janeiro3459117101215[[#This Row],[OUTUBRO]]</f>
        <v>0</v>
      </c>
      <c r="M65" s="62">
        <f>Fluxo_de_Caixa_Janeiro345911710121516[[#This Row],[NOVEMBRO]]</f>
        <v>0</v>
      </c>
      <c r="N65" s="119">
        <f>Fluxo_de_Caixa_Janeiro34591171012151619[[#This Row],[DEZEMBRO]]</f>
        <v>0</v>
      </c>
      <c r="O65" s="219">
        <f>SUM(Fluxo_de_Caixa_Janeiro31020817[[#This Row],[Janeiro]:[Dezembro]])</f>
        <v>0</v>
      </c>
      <c r="P65" s="192" t="str">
        <f t="shared" si="3"/>
        <v>0,00%</v>
      </c>
      <c r="Q65" s="72"/>
      <c r="R65" s="32" t="str">
        <f>IF(Fluxo_de_Caixa_Janeiro31020817[[#This Row],[% ACUMULADO  2º SEMEST 2025]]&lt;=Fluxo_de_Caixa_Janeiro31020817[[#This Row],[Coluna1]],"VERDADEIRO","FALSO")</f>
        <v>FALSO</v>
      </c>
    </row>
    <row r="66" spans="1:18" hidden="1" x14ac:dyDescent="0.25">
      <c r="B66" s="52">
        <f>Fluxo_de_Caixa_Janeiro[[#This Row],[Fluxo de Caixa 2026 CTR]]</f>
        <v>0</v>
      </c>
      <c r="C66" s="35"/>
      <c r="D66" s="62"/>
      <c r="E66" s="62"/>
      <c r="F66" s="62"/>
      <c r="G66" s="62"/>
      <c r="H66" s="62"/>
      <c r="I66" s="35">
        <f>Fluxo_de_Caixa_Janeiro3459117[[#This Row],[JULHO]]</f>
        <v>0</v>
      </c>
      <c r="J66" s="62">
        <f>Fluxo_de_Caixa_Janeiro345911710[[#This Row],[AGOSTO]]</f>
        <v>0</v>
      </c>
      <c r="K66" s="62">
        <f>Fluxo_de_Caixa_Janeiro34591171012[[#This Row],[SETEMBRO]]</f>
        <v>0</v>
      </c>
      <c r="L66" s="62">
        <f>Fluxo_de_Caixa_Janeiro3459117101215[[#This Row],[OUTUBRO]]</f>
        <v>0</v>
      </c>
      <c r="M66" s="62">
        <f>Fluxo_de_Caixa_Janeiro345911710121516[[#This Row],[NOVEMBRO]]</f>
        <v>0</v>
      </c>
      <c r="N66" s="119">
        <f>Fluxo_de_Caixa_Janeiro34591171012151619[[#This Row],[DEZEMBRO]]</f>
        <v>0</v>
      </c>
      <c r="O66" s="219">
        <f>SUM(Fluxo_de_Caixa_Janeiro31020817[[#This Row],[Janeiro]:[Dezembro]])</f>
        <v>0</v>
      </c>
      <c r="P66" s="192" t="str">
        <f t="shared" si="3"/>
        <v>0,00%</v>
      </c>
      <c r="Q66" s="72"/>
      <c r="R66" s="32" t="str">
        <f>IF(Fluxo_de_Caixa_Janeiro31020817[[#This Row],[% ACUMULADO  2º SEMEST 2025]]&lt;=Fluxo_de_Caixa_Janeiro31020817[[#This Row],[Coluna1]],"VERDADEIRO","FALSO")</f>
        <v>FALSO</v>
      </c>
    </row>
    <row r="67" spans="1:18" hidden="1" x14ac:dyDescent="0.25">
      <c r="B67" s="52">
        <f>Fluxo_de_Caixa_Janeiro[[#This Row],[Fluxo de Caixa 2026 CTR]]</f>
        <v>0</v>
      </c>
      <c r="C67" s="35"/>
      <c r="D67" s="62"/>
      <c r="E67" s="62"/>
      <c r="F67" s="62"/>
      <c r="G67" s="62"/>
      <c r="H67" s="62"/>
      <c r="I67" s="35">
        <f>Fluxo_de_Caixa_Janeiro3459117[[#This Row],[JULHO]]</f>
        <v>0</v>
      </c>
      <c r="J67" s="62">
        <f>Fluxo_de_Caixa_Janeiro345911710[[#This Row],[AGOSTO]]</f>
        <v>0</v>
      </c>
      <c r="K67" s="62">
        <f>Fluxo_de_Caixa_Janeiro34591171012[[#This Row],[SETEMBRO]]</f>
        <v>0</v>
      </c>
      <c r="L67" s="62">
        <f>Fluxo_de_Caixa_Janeiro3459117101215[[#This Row],[OUTUBRO]]</f>
        <v>0</v>
      </c>
      <c r="M67" s="62">
        <f>Fluxo_de_Caixa_Janeiro345911710121516[[#This Row],[NOVEMBRO]]</f>
        <v>0</v>
      </c>
      <c r="N67" s="119">
        <f>Fluxo_de_Caixa_Janeiro34591171012151619[[#This Row],[DEZEMBRO]]</f>
        <v>0</v>
      </c>
      <c r="O67" s="219">
        <f>SUM(Fluxo_de_Caixa_Janeiro31020817[[#This Row],[Janeiro]:[Dezembro]])</f>
        <v>0</v>
      </c>
      <c r="P67" s="192" t="str">
        <f t="shared" si="3"/>
        <v>0,00%</v>
      </c>
      <c r="Q67" s="72"/>
      <c r="R67" s="32" t="str">
        <f>IF(Fluxo_de_Caixa_Janeiro31020817[[#This Row],[% ACUMULADO  2º SEMEST 2025]]&lt;=Fluxo_de_Caixa_Janeiro31020817[[#This Row],[Coluna1]],"VERDADEIRO","FALSO")</f>
        <v>FALSO</v>
      </c>
    </row>
    <row r="68" spans="1:18" hidden="1" x14ac:dyDescent="0.25">
      <c r="B68" s="52">
        <f>Fluxo_de_Caixa_Janeiro[[#This Row],[Fluxo de Caixa 2026 CTR]]</f>
        <v>0</v>
      </c>
      <c r="C68" s="35"/>
      <c r="D68" s="62"/>
      <c r="E68" s="62"/>
      <c r="F68" s="62"/>
      <c r="G68" s="62"/>
      <c r="H68" s="62"/>
      <c r="I68" s="35">
        <f>Fluxo_de_Caixa_Janeiro3459117[[#This Row],[JULHO]]</f>
        <v>0</v>
      </c>
      <c r="J68" s="62">
        <f>Fluxo_de_Caixa_Janeiro345911710[[#This Row],[AGOSTO]]</f>
        <v>0</v>
      </c>
      <c r="K68" s="62">
        <f>Fluxo_de_Caixa_Janeiro34591171012[[#This Row],[SETEMBRO]]</f>
        <v>0</v>
      </c>
      <c r="L68" s="62">
        <f>Fluxo_de_Caixa_Janeiro3459117101215[[#This Row],[OUTUBRO]]</f>
        <v>0</v>
      </c>
      <c r="M68" s="62">
        <f>Fluxo_de_Caixa_Janeiro345911710121516[[#This Row],[NOVEMBRO]]</f>
        <v>0</v>
      </c>
      <c r="N68" s="119">
        <f>Fluxo_de_Caixa_Janeiro34591171012151619[[#This Row],[DEZEMBRO]]</f>
        <v>0</v>
      </c>
      <c r="O68" s="219">
        <f>SUM(Fluxo_de_Caixa_Janeiro31020817[[#This Row],[Janeiro]:[Dezembro]])</f>
        <v>0</v>
      </c>
      <c r="P68" s="192" t="str">
        <f t="shared" si="3"/>
        <v>0,00%</v>
      </c>
      <c r="Q68" s="72"/>
      <c r="R68" s="32" t="str">
        <f>IF(Fluxo_de_Caixa_Janeiro31020817[[#This Row],[% ACUMULADO  2º SEMEST 2025]]&lt;=Fluxo_de_Caixa_Janeiro31020817[[#This Row],[Coluna1]],"VERDADEIRO","FALSO")</f>
        <v>FALSO</v>
      </c>
    </row>
    <row r="69" spans="1:18" ht="15.75" hidden="1" thickBot="1" x14ac:dyDescent="0.3">
      <c r="B69" s="167">
        <f>Fluxo_de_Caixa_Janeiro[[#This Row],[Fluxo de Caixa 2026 CTR]]</f>
        <v>0</v>
      </c>
      <c r="C69" s="36"/>
      <c r="D69" s="82"/>
      <c r="E69" s="82"/>
      <c r="F69" s="82"/>
      <c r="G69" s="82"/>
      <c r="H69" s="82"/>
      <c r="I69" s="36">
        <f>Fluxo_de_Caixa_Janeiro3459117[[#This Row],[JULHO]]</f>
        <v>0</v>
      </c>
      <c r="J69" s="82">
        <f>Fluxo_de_Caixa_Janeiro345911710[[#This Row],[AGOSTO]]</f>
        <v>0</v>
      </c>
      <c r="K69" s="82">
        <f>Fluxo_de_Caixa_Janeiro34591171012[[#This Row],[SETEMBRO]]</f>
        <v>0</v>
      </c>
      <c r="L69" s="82">
        <f>Fluxo_de_Caixa_Janeiro3459117101215[[#This Row],[OUTUBRO]]</f>
        <v>0</v>
      </c>
      <c r="M69" s="82">
        <f>Fluxo_de_Caixa_Janeiro345911710121516[[#This Row],[NOVEMBRO]]</f>
        <v>0</v>
      </c>
      <c r="N69" s="120">
        <f>Fluxo_de_Caixa_Janeiro34591171012151619[[#This Row],[DEZEMBRO]]</f>
        <v>0</v>
      </c>
      <c r="O69" s="220">
        <f>SUM(Fluxo_de_Caixa_Janeiro31020817[[#This Row],[Janeiro]:[Dezembro]])</f>
        <v>0</v>
      </c>
      <c r="P69" s="192" t="str">
        <f t="shared" si="3"/>
        <v>0,00%</v>
      </c>
      <c r="Q69" s="90"/>
      <c r="R69" s="32" t="str">
        <f>IF(Fluxo_de_Caixa_Janeiro31020817[[#This Row],[% ACUMULADO  2º SEMEST 2025]]&lt;=Fluxo_de_Caixa_Janeiro31020817[[#This Row],[Coluna1]],"VERDADEIRO","FALSO")</f>
        <v>FALSO</v>
      </c>
    </row>
    <row r="70" spans="1:18" s="3" customFormat="1" ht="24" thickBot="1" x14ac:dyDescent="0.4">
      <c r="A70" s="13" t="s">
        <v>9</v>
      </c>
      <c r="B70" s="53" t="str">
        <f>Fluxo_de_Caixa_Janeiro[[#This Row],[Fluxo de Caixa 2026 CTR]]</f>
        <v>2.3. Impostos</v>
      </c>
      <c r="C70" s="43"/>
      <c r="D70" s="91"/>
      <c r="E70" s="91"/>
      <c r="F70" s="91"/>
      <c r="G70" s="91"/>
      <c r="H70" s="91"/>
      <c r="I70" s="43">
        <f>Fluxo_de_Caixa_Janeiro3459117[[#This Row],[JULHO]]</f>
        <v>0</v>
      </c>
      <c r="J70" s="91">
        <f>Fluxo_de_Caixa_Janeiro345911710[[#This Row],[AGOSTO]]</f>
        <v>0</v>
      </c>
      <c r="K70" s="91">
        <f>Fluxo_de_Caixa_Janeiro34591171012[[#This Row],[SETEMBRO]]</f>
        <v>0</v>
      </c>
      <c r="L70" s="91">
        <f>Fluxo_de_Caixa_Janeiro3459117101215[[#This Row],[OUTUBRO]]</f>
        <v>0</v>
      </c>
      <c r="M70" s="91">
        <f>Fluxo_de_Caixa_Janeiro345911710121516[[#This Row],[NOVEMBRO]]</f>
        <v>0</v>
      </c>
      <c r="N70" s="127">
        <f>Fluxo_de_Caixa_Janeiro34591171012151619[[#This Row],[DEZEMBRO]]</f>
        <v>0</v>
      </c>
      <c r="O70" s="217">
        <f>SUM(Fluxo_de_Caixa_Janeiro31020817[[#This Row],[Janeiro]:[Dezembro]])</f>
        <v>0</v>
      </c>
      <c r="P70" s="22">
        <f>-IFERROR(C70/$C$27,"0,00")</f>
        <v>0</v>
      </c>
      <c r="Q70" s="73"/>
      <c r="R70" s="32" t="str">
        <f>IF(Fluxo_de_Caixa_Janeiro31020817[[#This Row],[% ACUMULADO  2º SEMEST 2025]]&lt;=Fluxo_de_Caixa_Janeiro31020817[[#This Row],[Coluna1]],"VERDADEIRO","FALSO")</f>
        <v>VERDADEIRO</v>
      </c>
    </row>
    <row r="71" spans="1:18" hidden="1" x14ac:dyDescent="0.25">
      <c r="B71" s="272">
        <f>Fluxo_de_Caixa_Janeiro[[#This Row],[Fluxo de Caixa 2026 CTR]]</f>
        <v>0</v>
      </c>
      <c r="C71" s="41"/>
      <c r="D71" s="81"/>
      <c r="E71" s="81"/>
      <c r="F71" s="81"/>
      <c r="G71" s="81"/>
      <c r="H71" s="81"/>
      <c r="I71" s="41">
        <f>Fluxo_de_Caixa_Janeiro3459117[[#This Row],[JULHO]]</f>
        <v>0</v>
      </c>
      <c r="J71" s="81">
        <f>Fluxo_de_Caixa_Janeiro345911710[[#This Row],[AGOSTO]]</f>
        <v>0</v>
      </c>
      <c r="K71" s="81">
        <f>Fluxo_de_Caixa_Janeiro34591171012[[#This Row],[SETEMBRO]]</f>
        <v>0</v>
      </c>
      <c r="L71" s="81">
        <f>Fluxo_de_Caixa_Janeiro3459117101215[[#This Row],[OUTUBRO]]</f>
        <v>0</v>
      </c>
      <c r="M71" s="81">
        <f>Fluxo_de_Caixa_Janeiro345911710121516[[#This Row],[NOVEMBRO]]</f>
        <v>0</v>
      </c>
      <c r="N71" s="118">
        <f>Fluxo_de_Caixa_Janeiro34591171012151619[[#This Row],[DEZEMBRO]]</f>
        <v>0</v>
      </c>
      <c r="O71" s="218">
        <f>SUM(Fluxo_de_Caixa_Janeiro31020817[[#This Row],[Janeiro]:[Dezembro]])</f>
        <v>0</v>
      </c>
      <c r="P71" s="192" t="str">
        <f t="shared" ref="P71:P84" si="4">IFERROR(O71/$O$27,"0,00%")</f>
        <v>0,00%</v>
      </c>
      <c r="Q71" s="71"/>
      <c r="R71" s="32" t="str">
        <f>IF(Fluxo_de_Caixa_Janeiro31020817[[#This Row],[% ACUMULADO  2º SEMEST 2025]]&lt;=Fluxo_de_Caixa_Janeiro31020817[[#This Row],[Coluna1]],"VERDADEIRO","FALSO")</f>
        <v>FALSO</v>
      </c>
    </row>
    <row r="72" spans="1:18" x14ac:dyDescent="0.25">
      <c r="B72" s="267" t="str">
        <f>Fluxo_de_Caixa_Janeiro[[#This Row],[Fluxo de Caixa 2026 CTR]]</f>
        <v xml:space="preserve">2.3.02.IRPJ (SE ESTIVER NO CMV) </v>
      </c>
      <c r="C72" s="35"/>
      <c r="D72" s="62"/>
      <c r="E72" s="62"/>
      <c r="F72" s="62"/>
      <c r="G72" s="62"/>
      <c r="H72" s="62"/>
      <c r="I72" s="35">
        <f>Fluxo_de_Caixa_Janeiro3459117[[#This Row],[JULHO]]</f>
        <v>0</v>
      </c>
      <c r="J72" s="62">
        <f>Fluxo_de_Caixa_Janeiro345911710[[#This Row],[AGOSTO]]</f>
        <v>0</v>
      </c>
      <c r="K72" s="62">
        <f>Fluxo_de_Caixa_Janeiro34591171012[[#This Row],[SETEMBRO]]</f>
        <v>0</v>
      </c>
      <c r="L72" s="62">
        <f>Fluxo_de_Caixa_Janeiro3459117101215[[#This Row],[OUTUBRO]]</f>
        <v>0</v>
      </c>
      <c r="M72" s="62">
        <f>Fluxo_de_Caixa_Janeiro345911710121516[[#This Row],[NOVEMBRO]]</f>
        <v>0</v>
      </c>
      <c r="N72" s="119">
        <f>Fluxo_de_Caixa_Janeiro34591171012151619[[#This Row],[DEZEMBRO]]</f>
        <v>0</v>
      </c>
      <c r="O72" s="219">
        <f>SUM(Fluxo_de_Caixa_Janeiro31020817[[#This Row],[Janeiro]:[Dezembro]])</f>
        <v>0</v>
      </c>
      <c r="P72" s="192" t="str">
        <f t="shared" si="4"/>
        <v>0,00%</v>
      </c>
      <c r="Q72" s="71"/>
      <c r="R72" s="32" t="str">
        <f>IF(Fluxo_de_Caixa_Janeiro31020817[[#This Row],[% ACUMULADO  2º SEMEST 2025]]&lt;=Fluxo_de_Caixa_Janeiro31020817[[#This Row],[Coluna1]],"VERDADEIRO","FALSO")</f>
        <v>FALSO</v>
      </c>
    </row>
    <row r="73" spans="1:18" x14ac:dyDescent="0.25">
      <c r="B73" s="267" t="str">
        <f>Fluxo_de_Caixa_Janeiro[[#This Row],[Fluxo de Caixa 2026 CTR]]</f>
        <v xml:space="preserve">2.3.03.CSSL (SE ESTIVER NO CMV) </v>
      </c>
      <c r="C73" s="35"/>
      <c r="D73" s="62"/>
      <c r="E73" s="62"/>
      <c r="F73" s="62"/>
      <c r="G73" s="62"/>
      <c r="H73" s="62"/>
      <c r="I73" s="35">
        <f>Fluxo_de_Caixa_Janeiro3459117[[#This Row],[JULHO]]</f>
        <v>0</v>
      </c>
      <c r="J73" s="62">
        <f>Fluxo_de_Caixa_Janeiro345911710[[#This Row],[AGOSTO]]</f>
        <v>0</v>
      </c>
      <c r="K73" s="62">
        <f>Fluxo_de_Caixa_Janeiro34591171012[[#This Row],[SETEMBRO]]</f>
        <v>0</v>
      </c>
      <c r="L73" s="62">
        <f>Fluxo_de_Caixa_Janeiro3459117101215[[#This Row],[OUTUBRO]]</f>
        <v>0</v>
      </c>
      <c r="M73" s="62">
        <f>Fluxo_de_Caixa_Janeiro345911710121516[[#This Row],[NOVEMBRO]]</f>
        <v>0</v>
      </c>
      <c r="N73" s="119">
        <f>Fluxo_de_Caixa_Janeiro34591171012151619[[#This Row],[DEZEMBRO]]</f>
        <v>0</v>
      </c>
      <c r="O73" s="219">
        <f>SUM(Fluxo_de_Caixa_Janeiro31020817[[#This Row],[Janeiro]:[Dezembro]])</f>
        <v>0</v>
      </c>
      <c r="P73" s="192" t="str">
        <f t="shared" si="4"/>
        <v>0,00%</v>
      </c>
      <c r="Q73" s="71"/>
      <c r="R73" s="32" t="str">
        <f>IF(Fluxo_de_Caixa_Janeiro31020817[[#This Row],[% ACUMULADO  2º SEMEST 2025]]&lt;=Fluxo_de_Caixa_Janeiro31020817[[#This Row],[Coluna1]],"VERDADEIRO","FALSO")</f>
        <v>FALSO</v>
      </c>
    </row>
    <row r="74" spans="1:18" x14ac:dyDescent="0.25">
      <c r="B74" s="267" t="str">
        <f>Fluxo_de_Caixa_Janeiro[[#This Row],[Fluxo de Caixa 2026 CTR]]</f>
        <v>2.3.04.COFINS (SE ESTIVER NO CMV)</v>
      </c>
      <c r="C74" s="35"/>
      <c r="D74" s="62"/>
      <c r="E74" s="62"/>
      <c r="F74" s="62"/>
      <c r="G74" s="62"/>
      <c r="H74" s="62"/>
      <c r="I74" s="35">
        <f>Fluxo_de_Caixa_Janeiro3459117[[#This Row],[JULHO]]</f>
        <v>0</v>
      </c>
      <c r="J74" s="62">
        <f>Fluxo_de_Caixa_Janeiro345911710[[#This Row],[AGOSTO]]</f>
        <v>0</v>
      </c>
      <c r="K74" s="62">
        <f>Fluxo_de_Caixa_Janeiro34591171012[[#This Row],[SETEMBRO]]</f>
        <v>0</v>
      </c>
      <c r="L74" s="62">
        <f>Fluxo_de_Caixa_Janeiro3459117101215[[#This Row],[OUTUBRO]]</f>
        <v>0</v>
      </c>
      <c r="M74" s="62">
        <f>Fluxo_de_Caixa_Janeiro345911710121516[[#This Row],[NOVEMBRO]]</f>
        <v>0</v>
      </c>
      <c r="N74" s="119">
        <f>Fluxo_de_Caixa_Janeiro34591171012151619[[#This Row],[DEZEMBRO]]</f>
        <v>0</v>
      </c>
      <c r="O74" s="219">
        <f>SUM(Fluxo_de_Caixa_Janeiro31020817[[#This Row],[Janeiro]:[Dezembro]])</f>
        <v>0</v>
      </c>
      <c r="P74" s="192" t="str">
        <f t="shared" si="4"/>
        <v>0,00%</v>
      </c>
      <c r="Q74" s="71"/>
      <c r="R74" s="32" t="str">
        <f>IF(Fluxo_de_Caixa_Janeiro31020817[[#This Row],[% ACUMULADO  2º SEMEST 2025]]&lt;=Fluxo_de_Caixa_Janeiro31020817[[#This Row],[Coluna1]],"VERDADEIRO","FALSO")</f>
        <v>FALSO</v>
      </c>
    </row>
    <row r="75" spans="1:18" x14ac:dyDescent="0.25">
      <c r="B75" s="267" t="str">
        <f>Fluxo_de_Caixa_Janeiro[[#This Row],[Fluxo de Caixa 2026 CTR]]</f>
        <v>2.3.05.PIS (SE ESTIVER NO CMV)</v>
      </c>
      <c r="C75" s="35"/>
      <c r="D75" s="62"/>
      <c r="E75" s="62"/>
      <c r="F75" s="62"/>
      <c r="G75" s="62"/>
      <c r="H75" s="62"/>
      <c r="I75" s="35">
        <f>Fluxo_de_Caixa_Janeiro3459117[[#This Row],[JULHO]]</f>
        <v>0</v>
      </c>
      <c r="J75" s="62">
        <f>Fluxo_de_Caixa_Janeiro345911710[[#This Row],[AGOSTO]]</f>
        <v>0</v>
      </c>
      <c r="K75" s="62">
        <f>Fluxo_de_Caixa_Janeiro34591171012[[#This Row],[SETEMBRO]]</f>
        <v>0</v>
      </c>
      <c r="L75" s="62">
        <f>Fluxo_de_Caixa_Janeiro3459117101215[[#This Row],[OUTUBRO]]</f>
        <v>0</v>
      </c>
      <c r="M75" s="62">
        <f>Fluxo_de_Caixa_Janeiro345911710121516[[#This Row],[NOVEMBRO]]</f>
        <v>0</v>
      </c>
      <c r="N75" s="119">
        <f>Fluxo_de_Caixa_Janeiro34591171012151619[[#This Row],[DEZEMBRO]]</f>
        <v>0</v>
      </c>
      <c r="O75" s="219">
        <f>SUM(Fluxo_de_Caixa_Janeiro31020817[[#This Row],[Janeiro]:[Dezembro]])</f>
        <v>0</v>
      </c>
      <c r="P75" s="192" t="str">
        <f t="shared" si="4"/>
        <v>0,00%</v>
      </c>
      <c r="Q75" s="71"/>
      <c r="R75" s="32" t="str">
        <f>IF(Fluxo_de_Caixa_Janeiro31020817[[#This Row],[% ACUMULADO  2º SEMEST 2025]]&lt;=Fluxo_de_Caixa_Janeiro31020817[[#This Row],[Coluna1]],"VERDADEIRO","FALSO")</f>
        <v>FALSO</v>
      </c>
    </row>
    <row r="76" spans="1:18" x14ac:dyDescent="0.25">
      <c r="B76" s="267" t="str">
        <f>Fluxo_de_Caixa_Janeiro[[#This Row],[Fluxo de Caixa 2026 CTR]]</f>
        <v>2.3.06.ICMS – Normal (SE ESTIVER NO CMV)</v>
      </c>
      <c r="C76" s="35"/>
      <c r="D76" s="62"/>
      <c r="E76" s="62"/>
      <c r="F76" s="62"/>
      <c r="G76" s="62"/>
      <c r="H76" s="62"/>
      <c r="I76" s="35">
        <f>Fluxo_de_Caixa_Janeiro3459117[[#This Row],[JULHO]]</f>
        <v>0</v>
      </c>
      <c r="J76" s="62">
        <f>Fluxo_de_Caixa_Janeiro345911710[[#This Row],[AGOSTO]]</f>
        <v>0</v>
      </c>
      <c r="K76" s="62">
        <f>Fluxo_de_Caixa_Janeiro34591171012[[#This Row],[SETEMBRO]]</f>
        <v>0</v>
      </c>
      <c r="L76" s="62">
        <f>Fluxo_de_Caixa_Janeiro3459117101215[[#This Row],[OUTUBRO]]</f>
        <v>0</v>
      </c>
      <c r="M76" s="62">
        <f>Fluxo_de_Caixa_Janeiro345911710121516[[#This Row],[NOVEMBRO]]</f>
        <v>0</v>
      </c>
      <c r="N76" s="119">
        <f>Fluxo_de_Caixa_Janeiro34591171012151619[[#This Row],[DEZEMBRO]]</f>
        <v>0</v>
      </c>
      <c r="O76" s="219">
        <f>SUM(Fluxo_de_Caixa_Janeiro31020817[[#This Row],[Janeiro]:[Dezembro]])</f>
        <v>0</v>
      </c>
      <c r="P76" s="192" t="str">
        <f t="shared" si="4"/>
        <v>0,00%</v>
      </c>
      <c r="Q76" s="71"/>
      <c r="R76" s="32" t="str">
        <f>IF(Fluxo_de_Caixa_Janeiro31020817[[#This Row],[% ACUMULADO  2º SEMEST 2025]]&lt;=Fluxo_de_Caixa_Janeiro31020817[[#This Row],[Coluna1]],"VERDADEIRO","FALSO")</f>
        <v>FALSO</v>
      </c>
    </row>
    <row r="77" spans="1:18" x14ac:dyDescent="0.25">
      <c r="B77" s="267" t="str">
        <f>Fluxo_de_Caixa_Janeiro[[#This Row],[Fluxo de Caixa 2026 CTR]]</f>
        <v>2.3.07. SUBSTITUIÇÃO TRIBUTARIA SAÍDA (TARE)</v>
      </c>
      <c r="C77" s="35"/>
      <c r="D77" s="62"/>
      <c r="E77" s="62"/>
      <c r="F77" s="62"/>
      <c r="G77" s="62"/>
      <c r="H77" s="62"/>
      <c r="I77" s="35">
        <f>Fluxo_de_Caixa_Janeiro3459117[[#This Row],[JULHO]]</f>
        <v>0</v>
      </c>
      <c r="J77" s="62">
        <f>Fluxo_de_Caixa_Janeiro345911710[[#This Row],[AGOSTO]]</f>
        <v>0</v>
      </c>
      <c r="K77" s="62">
        <f>Fluxo_de_Caixa_Janeiro34591171012[[#This Row],[SETEMBRO]]</f>
        <v>0</v>
      </c>
      <c r="L77" s="62">
        <f>Fluxo_de_Caixa_Janeiro3459117101215[[#This Row],[OUTUBRO]]</f>
        <v>0</v>
      </c>
      <c r="M77" s="62">
        <f>Fluxo_de_Caixa_Janeiro345911710121516[[#This Row],[NOVEMBRO]]</f>
        <v>0</v>
      </c>
      <c r="N77" s="119">
        <f>Fluxo_de_Caixa_Janeiro34591171012151619[[#This Row],[DEZEMBRO]]</f>
        <v>0</v>
      </c>
      <c r="O77" s="219">
        <f>SUM(Fluxo_de_Caixa_Janeiro31020817[[#This Row],[Janeiro]:[Dezembro]])</f>
        <v>0</v>
      </c>
      <c r="P77" s="192" t="str">
        <f t="shared" si="4"/>
        <v>0,00%</v>
      </c>
      <c r="Q77" s="71"/>
      <c r="R77" s="32" t="str">
        <f>IF(Fluxo_de_Caixa_Janeiro31020817[[#This Row],[% ACUMULADO  2º SEMEST 2025]]&lt;=Fluxo_de_Caixa_Janeiro31020817[[#This Row],[Coluna1]],"VERDADEIRO","FALSO")</f>
        <v>FALSO</v>
      </c>
    </row>
    <row r="78" spans="1:18" x14ac:dyDescent="0.25">
      <c r="B78" s="268" t="str">
        <f>Fluxo_de_Caixa_Janeiro[[#This Row],[Fluxo de Caixa 2026 CTR]]</f>
        <v>2.3.08.SUBSTITUIÇÃO TRIBUTÁRIA NA ENTRADA</v>
      </c>
      <c r="C78" s="35"/>
      <c r="D78" s="62"/>
      <c r="E78" s="62"/>
      <c r="F78" s="62"/>
      <c r="G78" s="62"/>
      <c r="H78" s="62"/>
      <c r="I78" s="35">
        <f>Fluxo_de_Caixa_Janeiro3459117[[#This Row],[JULHO]]</f>
        <v>0</v>
      </c>
      <c r="J78" s="62">
        <f>Fluxo_de_Caixa_Janeiro345911710[[#This Row],[AGOSTO]]</f>
        <v>0</v>
      </c>
      <c r="K78" s="62">
        <f>Fluxo_de_Caixa_Janeiro34591171012[[#This Row],[SETEMBRO]]</f>
        <v>0</v>
      </c>
      <c r="L78" s="62">
        <f>Fluxo_de_Caixa_Janeiro3459117101215[[#This Row],[OUTUBRO]]</f>
        <v>0</v>
      </c>
      <c r="M78" s="62">
        <f>Fluxo_de_Caixa_Janeiro345911710121516[[#This Row],[NOVEMBRO]]</f>
        <v>0</v>
      </c>
      <c r="N78" s="119">
        <f>Fluxo_de_Caixa_Janeiro34591171012151619[[#This Row],[DEZEMBRO]]</f>
        <v>0</v>
      </c>
      <c r="O78" s="219">
        <f>SUM(Fluxo_de_Caixa_Janeiro31020817[[#This Row],[Janeiro]:[Dezembro]])</f>
        <v>0</v>
      </c>
      <c r="P78" s="192" t="str">
        <f t="shared" si="4"/>
        <v>0,00%</v>
      </c>
      <c r="Q78" s="71"/>
      <c r="R78" s="32" t="str">
        <f>IF(Fluxo_de_Caixa_Janeiro31020817[[#This Row],[% ACUMULADO  2º SEMEST 2025]]&lt;=Fluxo_de_Caixa_Janeiro31020817[[#This Row],[Coluna1]],"VERDADEIRO","FALSO")</f>
        <v>FALSO</v>
      </c>
    </row>
    <row r="79" spans="1:18" x14ac:dyDescent="0.25">
      <c r="B79" s="268" t="str">
        <f>Fluxo_de_Caixa_Janeiro[[#This Row],[Fluxo de Caixa 2026 CTR]]</f>
        <v>2.3.09.FUNDO DESENVOLVIMENTO ECONOMICO (TARE)</v>
      </c>
      <c r="C79" s="35"/>
      <c r="D79" s="62"/>
      <c r="E79" s="62"/>
      <c r="F79" s="62"/>
      <c r="G79" s="62"/>
      <c r="H79" s="62"/>
      <c r="I79" s="35">
        <f>Fluxo_de_Caixa_Janeiro3459117[[#This Row],[JULHO]]</f>
        <v>0</v>
      </c>
      <c r="J79" s="62">
        <f>Fluxo_de_Caixa_Janeiro345911710[[#This Row],[AGOSTO]]</f>
        <v>0</v>
      </c>
      <c r="K79" s="62">
        <f>Fluxo_de_Caixa_Janeiro34591171012[[#This Row],[SETEMBRO]]</f>
        <v>0</v>
      </c>
      <c r="L79" s="62">
        <f>Fluxo_de_Caixa_Janeiro3459117101215[[#This Row],[OUTUBRO]]</f>
        <v>0</v>
      </c>
      <c r="M79" s="62">
        <f>Fluxo_de_Caixa_Janeiro345911710121516[[#This Row],[NOVEMBRO]]</f>
        <v>0</v>
      </c>
      <c r="N79" s="119">
        <f>Fluxo_de_Caixa_Janeiro34591171012151619[[#This Row],[DEZEMBRO]]</f>
        <v>0</v>
      </c>
      <c r="O79" s="219">
        <f>SUM(Fluxo_de_Caixa_Janeiro31020817[[#This Row],[Janeiro]:[Dezembro]])</f>
        <v>0</v>
      </c>
      <c r="P79" s="192" t="str">
        <f t="shared" si="4"/>
        <v>0,00%</v>
      </c>
      <c r="Q79" s="71"/>
      <c r="R79" s="32" t="str">
        <f>IF(Fluxo_de_Caixa_Janeiro31020817[[#This Row],[% ACUMULADO  2º SEMEST 2025]]&lt;=Fluxo_de_Caixa_Janeiro31020817[[#This Row],[Coluna1]],"VERDADEIRO","FALSO")</f>
        <v>FALSO</v>
      </c>
    </row>
    <row r="80" spans="1:18" hidden="1" x14ac:dyDescent="0.25">
      <c r="B80" s="268">
        <f>Fluxo_de_Caixa_Janeiro[[#This Row],[Fluxo de Caixa 2026 CTR]]</f>
        <v>0</v>
      </c>
      <c r="C80" s="35"/>
      <c r="D80" s="62"/>
      <c r="E80" s="62"/>
      <c r="F80" s="62"/>
      <c r="G80" s="62"/>
      <c r="H80" s="62"/>
      <c r="I80" s="35">
        <f>Fluxo_de_Caixa_Janeiro3459117[[#This Row],[JULHO]]</f>
        <v>0</v>
      </c>
      <c r="J80" s="62">
        <f>Fluxo_de_Caixa_Janeiro345911710[[#This Row],[AGOSTO]]</f>
        <v>0</v>
      </c>
      <c r="K80" s="62">
        <f>Fluxo_de_Caixa_Janeiro34591171012[[#This Row],[SETEMBRO]]</f>
        <v>0</v>
      </c>
      <c r="L80" s="62">
        <f>Fluxo_de_Caixa_Janeiro3459117101215[[#This Row],[OUTUBRO]]</f>
        <v>0</v>
      </c>
      <c r="M80" s="62">
        <f>Fluxo_de_Caixa_Janeiro345911710121516[[#This Row],[NOVEMBRO]]</f>
        <v>0</v>
      </c>
      <c r="N80" s="119">
        <f>Fluxo_de_Caixa_Janeiro34591171012151619[[#This Row],[DEZEMBRO]]</f>
        <v>0</v>
      </c>
      <c r="O80" s="219">
        <f>SUM(Fluxo_de_Caixa_Janeiro31020817[[#This Row],[Janeiro]:[Dezembro]])</f>
        <v>0</v>
      </c>
      <c r="P80" s="192" t="str">
        <f t="shared" si="4"/>
        <v>0,00%</v>
      </c>
      <c r="Q80" s="71"/>
      <c r="R80" s="32" t="str">
        <f>IF(Fluxo_de_Caixa_Janeiro31020817[[#This Row],[% ACUMULADO  2º SEMEST 2025]]&lt;=Fluxo_de_Caixa_Janeiro31020817[[#This Row],[Coluna1]],"VERDADEIRO","FALSO")</f>
        <v>FALSO</v>
      </c>
    </row>
    <row r="81" spans="1:18" hidden="1" x14ac:dyDescent="0.25">
      <c r="B81" s="268">
        <f>Fluxo_de_Caixa_Janeiro[[#This Row],[Fluxo de Caixa 2026 CTR]]</f>
        <v>0</v>
      </c>
      <c r="C81" s="35"/>
      <c r="D81" s="62"/>
      <c r="E81" s="62"/>
      <c r="F81" s="62"/>
      <c r="G81" s="62"/>
      <c r="H81" s="62"/>
      <c r="I81" s="35">
        <f>Fluxo_de_Caixa_Janeiro3459117[[#This Row],[JULHO]]</f>
        <v>0</v>
      </c>
      <c r="J81" s="62">
        <f>Fluxo_de_Caixa_Janeiro345911710[[#This Row],[AGOSTO]]</f>
        <v>0</v>
      </c>
      <c r="K81" s="62">
        <f>Fluxo_de_Caixa_Janeiro34591171012[[#This Row],[SETEMBRO]]</f>
        <v>0</v>
      </c>
      <c r="L81" s="62">
        <f>Fluxo_de_Caixa_Janeiro3459117101215[[#This Row],[OUTUBRO]]</f>
        <v>0</v>
      </c>
      <c r="M81" s="62">
        <f>Fluxo_de_Caixa_Janeiro345911710121516[[#This Row],[NOVEMBRO]]</f>
        <v>0</v>
      </c>
      <c r="N81" s="119">
        <f>Fluxo_de_Caixa_Janeiro34591171012151619[[#This Row],[DEZEMBRO]]</f>
        <v>0</v>
      </c>
      <c r="O81" s="219">
        <f>SUM(Fluxo_de_Caixa_Janeiro31020817[[#This Row],[Janeiro]:[Dezembro]])</f>
        <v>0</v>
      </c>
      <c r="P81" s="192" t="str">
        <f t="shared" si="4"/>
        <v>0,00%</v>
      </c>
      <c r="Q81" s="71"/>
      <c r="R81" s="32" t="str">
        <f>IF(Fluxo_de_Caixa_Janeiro31020817[[#This Row],[% ACUMULADO  2º SEMEST 2025]]&lt;=Fluxo_de_Caixa_Janeiro31020817[[#This Row],[Coluna1]],"VERDADEIRO","FALSO")</f>
        <v>FALSO</v>
      </c>
    </row>
    <row r="82" spans="1:18" ht="15.75" thickBot="1" x14ac:dyDescent="0.3">
      <c r="B82" s="268" t="str">
        <f>Fluxo_de_Caixa_Janeiro[[#This Row],[Fluxo de Caixa 2026 CTR]]</f>
        <v xml:space="preserve">2.3.11. Impostos Parcelado </v>
      </c>
      <c r="C82" s="35"/>
      <c r="D82" s="62"/>
      <c r="E82" s="62"/>
      <c r="F82" s="62"/>
      <c r="G82" s="62"/>
      <c r="H82" s="62"/>
      <c r="I82" s="35">
        <f>Fluxo_de_Caixa_Janeiro3459117[[#This Row],[JULHO]]</f>
        <v>0</v>
      </c>
      <c r="J82" s="62">
        <f>Fluxo_de_Caixa_Janeiro345911710[[#This Row],[AGOSTO]]</f>
        <v>0</v>
      </c>
      <c r="K82" s="62">
        <f>Fluxo_de_Caixa_Janeiro34591171012[[#This Row],[SETEMBRO]]</f>
        <v>0</v>
      </c>
      <c r="L82" s="62">
        <f>Fluxo_de_Caixa_Janeiro3459117101215[[#This Row],[OUTUBRO]]</f>
        <v>0</v>
      </c>
      <c r="M82" s="62">
        <f>Fluxo_de_Caixa_Janeiro345911710121516[[#This Row],[NOVEMBRO]]</f>
        <v>0</v>
      </c>
      <c r="N82" s="119">
        <f>Fluxo_de_Caixa_Janeiro34591171012151619[[#This Row],[DEZEMBRO]]</f>
        <v>0</v>
      </c>
      <c r="O82" s="219">
        <f>SUM(Fluxo_de_Caixa_Janeiro31020817[[#This Row],[Janeiro]:[Dezembro]])</f>
        <v>0</v>
      </c>
      <c r="P82" s="192" t="str">
        <f t="shared" si="4"/>
        <v>0,00%</v>
      </c>
      <c r="Q82" s="71"/>
      <c r="R82" s="32" t="str">
        <f>IF(Fluxo_de_Caixa_Janeiro31020817[[#This Row],[% ACUMULADO  2º SEMEST 2025]]&lt;=Fluxo_de_Caixa_Janeiro31020817[[#This Row],[Coluna1]],"VERDADEIRO","FALSO")</f>
        <v>FALSO</v>
      </c>
    </row>
    <row r="83" spans="1:18" hidden="1" x14ac:dyDescent="0.25">
      <c r="B83" s="268">
        <f>Fluxo_de_Caixa_Janeiro[[#This Row],[Fluxo de Caixa 2026 CTR]]</f>
        <v>0</v>
      </c>
      <c r="C83" s="35"/>
      <c r="D83" s="62"/>
      <c r="E83" s="62"/>
      <c r="F83" s="62"/>
      <c r="G83" s="62"/>
      <c r="H83" s="62"/>
      <c r="I83" s="35">
        <f>Fluxo_de_Caixa_Janeiro3459117[[#This Row],[JULHO]]</f>
        <v>0</v>
      </c>
      <c r="J83" s="62">
        <f>Fluxo_de_Caixa_Janeiro345911710[[#This Row],[AGOSTO]]</f>
        <v>0</v>
      </c>
      <c r="K83" s="62">
        <f>Fluxo_de_Caixa_Janeiro34591171012[[#This Row],[SETEMBRO]]</f>
        <v>0</v>
      </c>
      <c r="L83" s="62">
        <f>Fluxo_de_Caixa_Janeiro3459117101215[[#This Row],[OUTUBRO]]</f>
        <v>0</v>
      </c>
      <c r="M83" s="62">
        <f>Fluxo_de_Caixa_Janeiro345911710121516[[#This Row],[NOVEMBRO]]</f>
        <v>0</v>
      </c>
      <c r="N83" s="119">
        <f>Fluxo_de_Caixa_Janeiro34591171012151619[[#This Row],[DEZEMBRO]]</f>
        <v>0</v>
      </c>
      <c r="O83" s="219">
        <f>SUM(Fluxo_de_Caixa_Janeiro31020817[[#This Row],[Janeiro]:[Dezembro]])</f>
        <v>0</v>
      </c>
      <c r="P83" s="192" t="str">
        <f t="shared" si="4"/>
        <v>0,00%</v>
      </c>
      <c r="Q83" s="71"/>
      <c r="R83" s="32" t="str">
        <f>IF(Fluxo_de_Caixa_Janeiro31020817[[#This Row],[% ACUMULADO  2º SEMEST 2025]]&lt;=Fluxo_de_Caixa_Janeiro31020817[[#This Row],[Coluna1]],"VERDADEIRO","FALSO")</f>
        <v>FALSO</v>
      </c>
    </row>
    <row r="84" spans="1:18" ht="15.75" hidden="1" thickBot="1" x14ac:dyDescent="0.3">
      <c r="B84" s="268">
        <f>Fluxo_de_Caixa_Janeiro[[#This Row],[Fluxo de Caixa 2026 CTR]]</f>
        <v>0</v>
      </c>
      <c r="C84" s="36"/>
      <c r="D84" s="82"/>
      <c r="E84" s="82"/>
      <c r="F84" s="82"/>
      <c r="G84" s="82"/>
      <c r="H84" s="82"/>
      <c r="I84" s="36">
        <f>Fluxo_de_Caixa_Janeiro3459117[[#This Row],[JULHO]]</f>
        <v>0</v>
      </c>
      <c r="J84" s="82">
        <f>Fluxo_de_Caixa_Janeiro345911710[[#This Row],[AGOSTO]]</f>
        <v>0</v>
      </c>
      <c r="K84" s="82">
        <f>Fluxo_de_Caixa_Janeiro34591171012[[#This Row],[SETEMBRO]]</f>
        <v>0</v>
      </c>
      <c r="L84" s="82">
        <f>Fluxo_de_Caixa_Janeiro3459117101215[[#This Row],[OUTUBRO]]</f>
        <v>0</v>
      </c>
      <c r="M84" s="82">
        <f>Fluxo_de_Caixa_Janeiro345911710121516[[#This Row],[NOVEMBRO]]</f>
        <v>0</v>
      </c>
      <c r="N84" s="120">
        <f>Fluxo_de_Caixa_Janeiro34591171012151619[[#This Row],[DEZEMBRO]]</f>
        <v>0</v>
      </c>
      <c r="O84" s="220">
        <f>SUM(Fluxo_de_Caixa_Janeiro31020817[[#This Row],[Janeiro]:[Dezembro]])</f>
        <v>0</v>
      </c>
      <c r="P84" s="192" t="str">
        <f t="shared" si="4"/>
        <v>0,00%</v>
      </c>
      <c r="Q84" s="89"/>
      <c r="R84" s="32" t="str">
        <f>IF(Fluxo_de_Caixa_Janeiro31020817[[#This Row],[% ACUMULADO  2º SEMEST 2025]]&lt;=Fluxo_de_Caixa_Janeiro31020817[[#This Row],[Coluna1]],"VERDADEIRO","FALSO")</f>
        <v>FALSO</v>
      </c>
    </row>
    <row r="85" spans="1:18" ht="24" thickBot="1" x14ac:dyDescent="0.4">
      <c r="B85" s="54" t="str">
        <f>Fluxo_de_Caixa_Janeiro[[#This Row],[Fluxo de Caixa 2026 CTR]]</f>
        <v xml:space="preserve">Total dos Custos </v>
      </c>
      <c r="C85" s="43"/>
      <c r="D85" s="91"/>
      <c r="E85" s="91"/>
      <c r="F85" s="91"/>
      <c r="G85" s="91"/>
      <c r="H85" s="91"/>
      <c r="I85" s="43">
        <f>Fluxo_de_Caixa_Janeiro3459117[[#This Row],[JULHO]]</f>
        <v>0</v>
      </c>
      <c r="J85" s="91">
        <f>Fluxo_de_Caixa_Janeiro345911710[[#This Row],[AGOSTO]]</f>
        <v>0</v>
      </c>
      <c r="K85" s="91">
        <f>Fluxo_de_Caixa_Janeiro34591171012[[#This Row],[SETEMBRO]]</f>
        <v>0</v>
      </c>
      <c r="L85" s="91">
        <f>Fluxo_de_Caixa_Janeiro3459117101215[[#This Row],[OUTUBRO]]</f>
        <v>0</v>
      </c>
      <c r="M85" s="91">
        <f>Fluxo_de_Caixa_Janeiro345911710121516[[#This Row],[NOVEMBRO]]</f>
        <v>0</v>
      </c>
      <c r="N85" s="127">
        <f>Fluxo_de_Caixa_Janeiro34591171012151619[[#This Row],[DEZEMBRO]]</f>
        <v>0</v>
      </c>
      <c r="O85" s="217">
        <f>SUM(Fluxo_de_Caixa_Janeiro31020817[[#This Row],[Janeiro]:[Dezembro]])</f>
        <v>0</v>
      </c>
      <c r="P85" s="199" t="str">
        <f>IFERROR(O85/O27,"0,00%")</f>
        <v>0,00%</v>
      </c>
      <c r="Q85" s="74"/>
      <c r="R85" s="32" t="str">
        <f>IF(Fluxo_de_Caixa_Janeiro31020817[[#This Row],[% ACUMULADO  2º SEMEST 2025]]&gt;=Fluxo_de_Caixa_Janeiro31020817[[#This Row],[Coluna1]],"VERDADEIRO","FALSO")</f>
        <v>VERDADEIRO</v>
      </c>
    </row>
    <row r="86" spans="1:18" ht="24" thickBot="1" x14ac:dyDescent="0.4">
      <c r="B86" s="273" t="str">
        <f>Fluxo_de_Caixa_Janeiro[[#This Row],[Fluxo de Caixa 2026 CTR]]</f>
        <v>Receita Operacional Bruta</v>
      </c>
      <c r="C86" s="200"/>
      <c r="D86" s="201"/>
      <c r="E86" s="201"/>
      <c r="F86" s="201"/>
      <c r="G86" s="201"/>
      <c r="H86" s="201"/>
      <c r="I86" s="200">
        <f>Fluxo_de_Caixa_Janeiro3459117[[#This Row],[JULHO]]</f>
        <v>0</v>
      </c>
      <c r="J86" s="201">
        <f>Fluxo_de_Caixa_Janeiro345911710[[#This Row],[AGOSTO]]</f>
        <v>0</v>
      </c>
      <c r="K86" s="201">
        <f>Fluxo_de_Caixa_Janeiro34591171012[[#This Row],[SETEMBRO]]</f>
        <v>0</v>
      </c>
      <c r="L86" s="201">
        <f>Fluxo_de_Caixa_Janeiro3459117101215[[#This Row],[OUTUBRO]]</f>
        <v>0</v>
      </c>
      <c r="M86" s="201">
        <f>Fluxo_de_Caixa_Janeiro345911710121516[[#This Row],[NOVEMBRO]]</f>
        <v>0</v>
      </c>
      <c r="N86" s="202">
        <f>Fluxo_de_Caixa_Janeiro34591171012151619[[#This Row],[DEZEMBRO]]</f>
        <v>0</v>
      </c>
      <c r="O86" s="289">
        <f>SUM(Fluxo_de_Caixa_Janeiro31020817[[#This Row],[Janeiro]:[Dezembro]])</f>
        <v>0</v>
      </c>
      <c r="P86" s="203" t="str">
        <f>IFERROR(O86/O27,"0,00%")</f>
        <v>0,00%</v>
      </c>
      <c r="Q86" s="92"/>
      <c r="R86" s="32" t="str">
        <f>IF(Fluxo_de_Caixa_Janeiro31020817[[#This Row],[% ACUMULADO  2º SEMEST 2025]]&gt;=Fluxo_de_Caixa_Janeiro31020817[[#This Row],[Coluna1]],"VERDADEIRO","FALSO")</f>
        <v>VERDADEIRO</v>
      </c>
    </row>
    <row r="87" spans="1:18" ht="24" thickBot="1" x14ac:dyDescent="0.4">
      <c r="B87" s="274" t="str">
        <f>Fluxo_de_Caixa_Janeiro[[#This Row],[Fluxo de Caixa 2026 CTR]]</f>
        <v xml:space="preserve">300. Despesas Operac. Fixas e Variáveis </v>
      </c>
      <c r="C87" s="204"/>
      <c r="D87" s="249"/>
      <c r="E87" s="249"/>
      <c r="F87" s="249"/>
      <c r="G87" s="249"/>
      <c r="H87" s="403"/>
      <c r="I87" s="249">
        <f>Fluxo_de_Caixa_Janeiro3459117[[#This Row],[JULHO]]</f>
        <v>0</v>
      </c>
      <c r="J87" s="249">
        <f>Fluxo_de_Caixa_Janeiro345911710[[#This Row],[AGOSTO]]</f>
        <v>0</v>
      </c>
      <c r="K87" s="249">
        <f>Fluxo_de_Caixa_Janeiro34591171012[[#This Row],[SETEMBRO]]</f>
        <v>0</v>
      </c>
      <c r="L87" s="249">
        <f>Fluxo_de_Caixa_Janeiro3459117101215[[#This Row],[OUTUBRO]]</f>
        <v>0</v>
      </c>
      <c r="M87" s="249">
        <f>Fluxo_de_Caixa_Janeiro345911710121516[[#This Row],[NOVEMBRO]]</f>
        <v>0</v>
      </c>
      <c r="N87" s="249">
        <f>Fluxo_de_Caixa_Janeiro34591171012151619[[#This Row],[DEZEMBRO]]</f>
        <v>0</v>
      </c>
      <c r="O87" s="221"/>
      <c r="P87" s="205"/>
      <c r="Q87" s="23"/>
      <c r="R87" s="32" t="str">
        <f>IF(Fluxo_de_Caixa_Janeiro31020817[[#This Row],[% ACUMULADO  2º SEMEST 2025]]&lt;=Fluxo_de_Caixa_Janeiro31020817[[#This Row],[Coluna1]],"VERDADEIRO","FALSO")</f>
        <v>VERDADEIRO</v>
      </c>
    </row>
    <row r="88" spans="1:18" ht="19.5" thickBot="1" x14ac:dyDescent="0.35">
      <c r="A88" s="14" t="s">
        <v>2</v>
      </c>
      <c r="B88" s="275" t="str">
        <f>Fluxo_de_Caixa_Janeiro[[#This Row],[Fluxo de Caixa 2026 CTR]]</f>
        <v xml:space="preserve">3.1. DESPESA COM VENDAS   </v>
      </c>
      <c r="C88" s="157"/>
      <c r="D88" s="94"/>
      <c r="E88" s="94"/>
      <c r="F88" s="94"/>
      <c r="G88" s="94"/>
      <c r="H88" s="94"/>
      <c r="I88" s="157">
        <f>Fluxo_de_Caixa_Janeiro3459117[[#This Row],[JULHO]]</f>
        <v>0</v>
      </c>
      <c r="J88" s="94">
        <f>Fluxo_de_Caixa_Janeiro345911710[[#This Row],[AGOSTO]]</f>
        <v>0</v>
      </c>
      <c r="K88" s="94">
        <f>Fluxo_de_Caixa_Janeiro34591171012[[#This Row],[SETEMBRO]]</f>
        <v>0</v>
      </c>
      <c r="L88" s="94">
        <f>Fluxo_de_Caixa_Janeiro3459117101215[[#This Row],[OUTUBRO]]</f>
        <v>0</v>
      </c>
      <c r="M88" s="94">
        <f>Fluxo_de_Caixa_Janeiro345911710121516[[#This Row],[NOVEMBRO]]</f>
        <v>0</v>
      </c>
      <c r="N88" s="128">
        <f>Fluxo_de_Caixa_Janeiro34591171012151619[[#This Row],[DEZEMBRO]]</f>
        <v>0</v>
      </c>
      <c r="O88" s="222">
        <f>SUM(Fluxo_de_Caixa_Janeiro31020817[[#This Row],[Janeiro]:[Dezembro]])</f>
        <v>0</v>
      </c>
      <c r="P88" s="143">
        <f>-IFERROR(O88/$O$27,"0,00")</f>
        <v>0</v>
      </c>
      <c r="Q88" s="95"/>
      <c r="R88" s="32" t="str">
        <f>IF(Fluxo_de_Caixa_Janeiro31020817[[#This Row],[% ACUMULADO  2º SEMEST 2025]]&lt;=Fluxo_de_Caixa_Janeiro31020817[[#This Row],[Coluna1]],"VERDADEIRO","FALSO")</f>
        <v>VERDADEIRO</v>
      </c>
    </row>
    <row r="89" spans="1:18" x14ac:dyDescent="0.25">
      <c r="B89" s="169" t="str">
        <f>Fluxo_de_Caixa_Janeiro[[#This Row],[Fluxo de Caixa 2026 CTR]]</f>
        <v xml:space="preserve">3.1.01. Marketing e Propaganda </v>
      </c>
      <c r="C89" s="41"/>
      <c r="D89" s="81"/>
      <c r="E89" s="81"/>
      <c r="F89" s="81"/>
      <c r="G89" s="81"/>
      <c r="H89" s="81"/>
      <c r="I89" s="41">
        <f>Fluxo_de_Caixa_Janeiro3459117[[#This Row],[JULHO]]</f>
        <v>0</v>
      </c>
      <c r="J89" s="81">
        <f>Fluxo_de_Caixa_Janeiro345911710[[#This Row],[AGOSTO]]</f>
        <v>0</v>
      </c>
      <c r="K89" s="81">
        <f>Fluxo_de_Caixa_Janeiro34591171012[[#This Row],[SETEMBRO]]</f>
        <v>0</v>
      </c>
      <c r="L89" s="81">
        <f>Fluxo_de_Caixa_Janeiro3459117101215[[#This Row],[OUTUBRO]]</f>
        <v>0</v>
      </c>
      <c r="M89" s="81">
        <f>Fluxo_de_Caixa_Janeiro345911710121516[[#This Row],[NOVEMBRO]]</f>
        <v>0</v>
      </c>
      <c r="N89" s="118">
        <f>Fluxo_de_Caixa_Janeiro34591171012151619[[#This Row],[DEZEMBRO]]</f>
        <v>0</v>
      </c>
      <c r="O89" s="223">
        <f>SUM(Fluxo_de_Caixa_Janeiro31020817[[#This Row],[Janeiro]:[Dezembro]])</f>
        <v>0</v>
      </c>
      <c r="P89" s="193" t="str">
        <f t="shared" ref="P89:P99" si="5">IFERROR(O89/$O$27,"0,00%")</f>
        <v>0,00%</v>
      </c>
      <c r="Q89" s="93"/>
      <c r="R89" s="32" t="str">
        <f>IF(Fluxo_de_Caixa_Janeiro31020817[[#This Row],[% ACUMULADO  2º SEMEST 2025]]&lt;=Fluxo_de_Caixa_Janeiro31020817[[#This Row],[Coluna1]],"VERDADEIRO","FALSO")</f>
        <v>FALSO</v>
      </c>
    </row>
    <row r="90" spans="1:18" x14ac:dyDescent="0.25">
      <c r="B90" s="55" t="str">
        <f>Fluxo_de_Caixa_Janeiro[[#This Row],[Fluxo de Caixa 2026 CTR]]</f>
        <v>3.1.02. Promoções e Eventos(Brindes/Café da Manhã p clientes/etc)</v>
      </c>
      <c r="C90" s="35"/>
      <c r="D90" s="62"/>
      <c r="E90" s="62"/>
      <c r="F90" s="62"/>
      <c r="G90" s="62"/>
      <c r="H90" s="62"/>
      <c r="I90" s="35">
        <f>Fluxo_de_Caixa_Janeiro3459117[[#This Row],[JULHO]]</f>
        <v>0</v>
      </c>
      <c r="J90" s="62">
        <f>Fluxo_de_Caixa_Janeiro345911710[[#This Row],[AGOSTO]]</f>
        <v>0</v>
      </c>
      <c r="K90" s="62">
        <f>Fluxo_de_Caixa_Janeiro34591171012[[#This Row],[SETEMBRO]]</f>
        <v>0</v>
      </c>
      <c r="L90" s="62">
        <f>Fluxo_de_Caixa_Janeiro3459117101215[[#This Row],[OUTUBRO]]</f>
        <v>0</v>
      </c>
      <c r="M90" s="62">
        <f>Fluxo_de_Caixa_Janeiro345911710121516[[#This Row],[NOVEMBRO]]</f>
        <v>0</v>
      </c>
      <c r="N90" s="119">
        <f>Fluxo_de_Caixa_Janeiro34591171012151619[[#This Row],[DEZEMBRO]]</f>
        <v>0</v>
      </c>
      <c r="O90" s="224">
        <f>SUM(Fluxo_de_Caixa_Janeiro31020817[[#This Row],[Janeiro]:[Dezembro]])</f>
        <v>0</v>
      </c>
      <c r="P90" s="194" t="str">
        <f t="shared" si="5"/>
        <v>0,00%</v>
      </c>
      <c r="Q90" s="75"/>
      <c r="R90" s="32" t="str">
        <f>IF(Fluxo_de_Caixa_Janeiro31020817[[#This Row],[% ACUMULADO  2º SEMEST 2025]]&lt;=Fluxo_de_Caixa_Janeiro31020817[[#This Row],[Coluna1]],"VERDADEIRO","FALSO")</f>
        <v>FALSO</v>
      </c>
    </row>
    <row r="91" spans="1:18" x14ac:dyDescent="0.25">
      <c r="B91" s="55" t="str">
        <f>Fluxo_de_Caixa_Janeiro[[#This Row],[Fluxo de Caixa 2026 CTR]]</f>
        <v>3.1.03. Sacolas e Embalagens</v>
      </c>
      <c r="C91" s="35"/>
      <c r="D91" s="62"/>
      <c r="E91" s="62"/>
      <c r="F91" s="62"/>
      <c r="G91" s="62"/>
      <c r="H91" s="62"/>
      <c r="I91" s="35">
        <f>Fluxo_de_Caixa_Janeiro3459117[[#This Row],[JULHO]]</f>
        <v>0</v>
      </c>
      <c r="J91" s="62">
        <f>Fluxo_de_Caixa_Janeiro345911710[[#This Row],[AGOSTO]]</f>
        <v>0</v>
      </c>
      <c r="K91" s="62">
        <f>Fluxo_de_Caixa_Janeiro34591171012[[#This Row],[SETEMBRO]]</f>
        <v>0</v>
      </c>
      <c r="L91" s="62">
        <f>Fluxo_de_Caixa_Janeiro3459117101215[[#This Row],[OUTUBRO]]</f>
        <v>0</v>
      </c>
      <c r="M91" s="62">
        <f>Fluxo_de_Caixa_Janeiro345911710121516[[#This Row],[NOVEMBRO]]</f>
        <v>0</v>
      </c>
      <c r="N91" s="119">
        <f>Fluxo_de_Caixa_Janeiro34591171012151619[[#This Row],[DEZEMBRO]]</f>
        <v>0</v>
      </c>
      <c r="O91" s="224">
        <f>SUM(Fluxo_de_Caixa_Janeiro31020817[[#This Row],[Janeiro]:[Dezembro]])</f>
        <v>0</v>
      </c>
      <c r="P91" s="194" t="str">
        <f t="shared" si="5"/>
        <v>0,00%</v>
      </c>
      <c r="Q91" s="75"/>
      <c r="R91" s="32" t="str">
        <f>IF(Fluxo_de_Caixa_Janeiro31020817[[#This Row],[% ACUMULADO  2º SEMEST 2025]]&lt;=Fluxo_de_Caixa_Janeiro31020817[[#This Row],[Coluna1]],"VERDADEIRO","FALSO")</f>
        <v>FALSO</v>
      </c>
    </row>
    <row r="92" spans="1:18" x14ac:dyDescent="0.25">
      <c r="B92" s="55" t="str">
        <f>Fluxo_de_Caixa_Janeiro[[#This Row],[Fluxo de Caixa 2026 CTR]]</f>
        <v>3.1.04.DIARIAS E DESPESAS COM VENDEDOR (passagem ônibus, hotel. Etc)</v>
      </c>
      <c r="C92" s="35"/>
      <c r="D92" s="62"/>
      <c r="E92" s="62"/>
      <c r="F92" s="62"/>
      <c r="G92" s="62"/>
      <c r="H92" s="62"/>
      <c r="I92" s="35">
        <f>Fluxo_de_Caixa_Janeiro3459117[[#This Row],[JULHO]]</f>
        <v>0</v>
      </c>
      <c r="J92" s="62">
        <f>Fluxo_de_Caixa_Janeiro345911710[[#This Row],[AGOSTO]]</f>
        <v>0</v>
      </c>
      <c r="K92" s="62">
        <f>Fluxo_de_Caixa_Janeiro34591171012[[#This Row],[SETEMBRO]]</f>
        <v>0</v>
      </c>
      <c r="L92" s="62">
        <f>Fluxo_de_Caixa_Janeiro3459117101215[[#This Row],[OUTUBRO]]</f>
        <v>0</v>
      </c>
      <c r="M92" s="62">
        <f>Fluxo_de_Caixa_Janeiro345911710121516[[#This Row],[NOVEMBRO]]</f>
        <v>0</v>
      </c>
      <c r="N92" s="119">
        <f>Fluxo_de_Caixa_Janeiro34591171012151619[[#This Row],[DEZEMBRO]]</f>
        <v>0</v>
      </c>
      <c r="O92" s="224">
        <f>SUM(Fluxo_de_Caixa_Janeiro31020817[[#This Row],[Janeiro]:[Dezembro]])</f>
        <v>0</v>
      </c>
      <c r="P92" s="194" t="str">
        <f t="shared" si="5"/>
        <v>0,00%</v>
      </c>
      <c r="Q92" s="75"/>
      <c r="R92" s="32" t="str">
        <f>IF(Fluxo_de_Caixa_Janeiro31020817[[#This Row],[% ACUMULADO  2º SEMEST 2025]]&lt;=Fluxo_de_Caixa_Janeiro31020817[[#This Row],[Coluna1]],"VERDADEIRO","FALSO")</f>
        <v>FALSO</v>
      </c>
    </row>
    <row r="93" spans="1:18" x14ac:dyDescent="0.25">
      <c r="B93" s="55" t="str">
        <f>Fluxo_de_Caixa_Janeiro[[#This Row],[Fluxo de Caixa 2026 CTR]]</f>
        <v>3.1.05. Comissão Representente Comercial</v>
      </c>
      <c r="C93" s="35"/>
      <c r="D93" s="62"/>
      <c r="E93" s="62"/>
      <c r="F93" s="62"/>
      <c r="G93" s="62"/>
      <c r="H93" s="62"/>
      <c r="I93" s="35">
        <f>Fluxo_de_Caixa_Janeiro3459117[[#This Row],[JULHO]]</f>
        <v>0</v>
      </c>
      <c r="J93" s="62">
        <f>Fluxo_de_Caixa_Janeiro345911710[[#This Row],[AGOSTO]]</f>
        <v>0</v>
      </c>
      <c r="K93" s="62">
        <f>Fluxo_de_Caixa_Janeiro34591171012[[#This Row],[SETEMBRO]]</f>
        <v>0</v>
      </c>
      <c r="L93" s="62">
        <f>Fluxo_de_Caixa_Janeiro3459117101215[[#This Row],[OUTUBRO]]</f>
        <v>0</v>
      </c>
      <c r="M93" s="62">
        <f>Fluxo_de_Caixa_Janeiro345911710121516[[#This Row],[NOVEMBRO]]</f>
        <v>0</v>
      </c>
      <c r="N93" s="119">
        <f>Fluxo_de_Caixa_Janeiro34591171012151619[[#This Row],[DEZEMBRO]]</f>
        <v>0</v>
      </c>
      <c r="O93" s="224">
        <f>SUM(Fluxo_de_Caixa_Janeiro31020817[[#This Row],[Janeiro]:[Dezembro]])</f>
        <v>0</v>
      </c>
      <c r="P93" s="194" t="str">
        <f t="shared" si="5"/>
        <v>0,00%</v>
      </c>
      <c r="Q93" s="75"/>
      <c r="R93" s="32" t="str">
        <f>IF(Fluxo_de_Caixa_Janeiro31020817[[#This Row],[% ACUMULADO  2º SEMEST 2025]]&lt;=Fluxo_de_Caixa_Janeiro31020817[[#This Row],[Coluna1]],"VERDADEIRO","FALSO")</f>
        <v>FALSO</v>
      </c>
    </row>
    <row r="94" spans="1:18" x14ac:dyDescent="0.25">
      <c r="B94" s="55" t="str">
        <f>Fluxo_de_Caixa_Janeiro[[#This Row],[Fluxo de Caixa 2026 CTR]]</f>
        <v>3.1.06. Frete com entrega de vendas</v>
      </c>
      <c r="C94" s="35"/>
      <c r="D94" s="62"/>
      <c r="E94" s="62"/>
      <c r="F94" s="62"/>
      <c r="G94" s="62"/>
      <c r="H94" s="62"/>
      <c r="I94" s="35">
        <f>Fluxo_de_Caixa_Janeiro3459117[[#This Row],[JULHO]]</f>
        <v>0</v>
      </c>
      <c r="J94" s="62">
        <f>Fluxo_de_Caixa_Janeiro345911710[[#This Row],[AGOSTO]]</f>
        <v>0</v>
      </c>
      <c r="K94" s="62">
        <f>Fluxo_de_Caixa_Janeiro34591171012[[#This Row],[SETEMBRO]]</f>
        <v>0</v>
      </c>
      <c r="L94" s="62">
        <f>Fluxo_de_Caixa_Janeiro3459117101215[[#This Row],[OUTUBRO]]</f>
        <v>0</v>
      </c>
      <c r="M94" s="62">
        <f>Fluxo_de_Caixa_Janeiro345911710121516[[#This Row],[NOVEMBRO]]</f>
        <v>0</v>
      </c>
      <c r="N94" s="119">
        <f>Fluxo_de_Caixa_Janeiro34591171012151619[[#This Row],[DEZEMBRO]]</f>
        <v>0</v>
      </c>
      <c r="O94" s="224">
        <f>SUM(Fluxo_de_Caixa_Janeiro31020817[[#This Row],[Janeiro]:[Dezembro]])</f>
        <v>0</v>
      </c>
      <c r="P94" s="194" t="str">
        <f t="shared" si="5"/>
        <v>0,00%</v>
      </c>
      <c r="Q94" s="75"/>
      <c r="R94" s="32" t="str">
        <f>IF(Fluxo_de_Caixa_Janeiro31020817[[#This Row],[% ACUMULADO  2º SEMEST 2025]]&lt;=Fluxo_de_Caixa_Janeiro31020817[[#This Row],[Coluna1]],"VERDADEIRO","FALSO")</f>
        <v>FALSO</v>
      </c>
    </row>
    <row r="95" spans="1:18" x14ac:dyDescent="0.25">
      <c r="B95" s="55" t="str">
        <f>Fluxo_de_Caixa_Janeiro[[#This Row],[Fluxo de Caixa 2026 CTR]]</f>
        <v>3.1.07. TAXAS C/ CART CRÉD/DÉBIT</v>
      </c>
      <c r="C95" s="35"/>
      <c r="D95" s="62"/>
      <c r="E95" s="62"/>
      <c r="F95" s="62"/>
      <c r="G95" s="62"/>
      <c r="H95" s="62"/>
      <c r="I95" s="35">
        <f>Fluxo_de_Caixa_Janeiro3459117[[#This Row],[JULHO]]</f>
        <v>0</v>
      </c>
      <c r="J95" s="62">
        <f>Fluxo_de_Caixa_Janeiro345911710[[#This Row],[AGOSTO]]</f>
        <v>0</v>
      </c>
      <c r="K95" s="62">
        <f>Fluxo_de_Caixa_Janeiro34591171012[[#This Row],[SETEMBRO]]</f>
        <v>0</v>
      </c>
      <c r="L95" s="62">
        <f>Fluxo_de_Caixa_Janeiro3459117101215[[#This Row],[OUTUBRO]]</f>
        <v>0</v>
      </c>
      <c r="M95" s="62">
        <f>Fluxo_de_Caixa_Janeiro345911710121516[[#This Row],[NOVEMBRO]]</f>
        <v>0</v>
      </c>
      <c r="N95" s="119">
        <f>Fluxo_de_Caixa_Janeiro34591171012151619[[#This Row],[DEZEMBRO]]</f>
        <v>0</v>
      </c>
      <c r="O95" s="224">
        <f>SUM(Fluxo_de_Caixa_Janeiro31020817[[#This Row],[Janeiro]:[Dezembro]])</f>
        <v>0</v>
      </c>
      <c r="P95" s="194" t="str">
        <f t="shared" si="5"/>
        <v>0,00%</v>
      </c>
      <c r="Q95" s="75"/>
      <c r="R95" s="32" t="str">
        <f>IF(Fluxo_de_Caixa_Janeiro31020817[[#This Row],[% ACUMULADO  2º SEMEST 2025]]&lt;=Fluxo_de_Caixa_Janeiro31020817[[#This Row],[Coluna1]],"VERDADEIRO","FALSO")</f>
        <v>FALSO</v>
      </c>
    </row>
    <row r="96" spans="1:18" x14ac:dyDescent="0.25">
      <c r="B96" s="55" t="str">
        <f>Fluxo_de_Caixa_Janeiro[[#This Row],[Fluxo de Caixa 2026 CTR]]</f>
        <v>3.1.08. Serviço Motoboy Entrega Vendas</v>
      </c>
      <c r="C96" s="35"/>
      <c r="D96" s="62"/>
      <c r="E96" s="62"/>
      <c r="F96" s="62"/>
      <c r="G96" s="62"/>
      <c r="H96" s="62"/>
      <c r="I96" s="35">
        <f>Fluxo_de_Caixa_Janeiro3459117[[#This Row],[JULHO]]</f>
        <v>0</v>
      </c>
      <c r="J96" s="62">
        <f>Fluxo_de_Caixa_Janeiro345911710[[#This Row],[AGOSTO]]</f>
        <v>0</v>
      </c>
      <c r="K96" s="62">
        <f>Fluxo_de_Caixa_Janeiro34591171012[[#This Row],[SETEMBRO]]</f>
        <v>0</v>
      </c>
      <c r="L96" s="62">
        <f>Fluxo_de_Caixa_Janeiro3459117101215[[#This Row],[OUTUBRO]]</f>
        <v>0</v>
      </c>
      <c r="M96" s="62">
        <f>Fluxo_de_Caixa_Janeiro345911710121516[[#This Row],[NOVEMBRO]]</f>
        <v>0</v>
      </c>
      <c r="N96" s="119">
        <f>Fluxo_de_Caixa_Janeiro34591171012151619[[#This Row],[DEZEMBRO]]</f>
        <v>0</v>
      </c>
      <c r="O96" s="224">
        <f>SUM(Fluxo_de_Caixa_Janeiro31020817[[#This Row],[Janeiro]:[Dezembro]])</f>
        <v>0</v>
      </c>
      <c r="P96" s="194" t="str">
        <f t="shared" si="5"/>
        <v>0,00%</v>
      </c>
      <c r="Q96" s="75"/>
      <c r="R96" s="32" t="str">
        <f>IF(Fluxo_de_Caixa_Janeiro31020817[[#This Row],[% ACUMULADO  2º SEMEST 2025]]&lt;=Fluxo_de_Caixa_Janeiro31020817[[#This Row],[Coluna1]],"VERDADEIRO","FALSO")</f>
        <v>FALSO</v>
      </c>
    </row>
    <row r="97" spans="1:20" x14ac:dyDescent="0.25">
      <c r="B97" s="55" t="str">
        <f>Fluxo_de_Caixa_Janeiro[[#This Row],[Fluxo de Caixa 2026 CTR]]</f>
        <v>3.1.09. PGTO DISTRATO REPRES COMERCIAL</v>
      </c>
      <c r="C97" s="35"/>
      <c r="D97" s="62"/>
      <c r="E97" s="62"/>
      <c r="F97" s="62"/>
      <c r="G97" s="62"/>
      <c r="H97" s="62"/>
      <c r="I97" s="35">
        <f>Fluxo_de_Caixa_Janeiro3459117[[#This Row],[JULHO]]</f>
        <v>0</v>
      </c>
      <c r="J97" s="62">
        <f>Fluxo_de_Caixa_Janeiro345911710[[#This Row],[AGOSTO]]</f>
        <v>0</v>
      </c>
      <c r="K97" s="62">
        <f>Fluxo_de_Caixa_Janeiro34591171012[[#This Row],[SETEMBRO]]</f>
        <v>0</v>
      </c>
      <c r="L97" s="62">
        <f>Fluxo_de_Caixa_Janeiro3459117101215[[#This Row],[OUTUBRO]]</f>
        <v>0</v>
      </c>
      <c r="M97" s="62">
        <f>Fluxo_de_Caixa_Janeiro345911710121516[[#This Row],[NOVEMBRO]]</f>
        <v>0</v>
      </c>
      <c r="N97" s="119">
        <f>Fluxo_de_Caixa_Janeiro34591171012151619[[#This Row],[DEZEMBRO]]</f>
        <v>0</v>
      </c>
      <c r="O97" s="224">
        <f>SUM(Fluxo_de_Caixa_Janeiro31020817[[#This Row],[Janeiro]:[Dezembro]])</f>
        <v>0</v>
      </c>
      <c r="P97" s="194" t="str">
        <f t="shared" si="5"/>
        <v>0,00%</v>
      </c>
      <c r="Q97" s="75"/>
      <c r="R97" s="32" t="str">
        <f>IF(Fluxo_de_Caixa_Janeiro31020817[[#This Row],[% ACUMULADO  2º SEMEST 2025]]&lt;=Fluxo_de_Caixa_Janeiro31020817[[#This Row],[Coluna1]],"VERDADEIRO","FALSO")</f>
        <v>FALSO</v>
      </c>
    </row>
    <row r="98" spans="1:20" ht="15.75" thickBot="1" x14ac:dyDescent="0.3">
      <c r="B98" s="55" t="str">
        <f>Fluxo_de_Caixa_Janeiro[[#This Row],[Fluxo de Caixa 2026 CTR]]</f>
        <v>3.1.10. TARIFA PIX RECEBIDO</v>
      </c>
      <c r="C98" s="35"/>
      <c r="D98" s="62"/>
      <c r="E98" s="62"/>
      <c r="F98" s="62"/>
      <c r="G98" s="62"/>
      <c r="H98" s="62"/>
      <c r="I98" s="35">
        <f>Fluxo_de_Caixa_Janeiro3459117[[#This Row],[JULHO]]</f>
        <v>0</v>
      </c>
      <c r="J98" s="62">
        <f>Fluxo_de_Caixa_Janeiro345911710[[#This Row],[AGOSTO]]</f>
        <v>0</v>
      </c>
      <c r="K98" s="62">
        <f>Fluxo_de_Caixa_Janeiro34591171012[[#This Row],[SETEMBRO]]</f>
        <v>0</v>
      </c>
      <c r="L98" s="62">
        <f>Fluxo_de_Caixa_Janeiro3459117101215[[#This Row],[OUTUBRO]]</f>
        <v>0</v>
      </c>
      <c r="M98" s="62">
        <f>Fluxo_de_Caixa_Janeiro345911710121516[[#This Row],[NOVEMBRO]]</f>
        <v>0</v>
      </c>
      <c r="N98" s="119">
        <f>Fluxo_de_Caixa_Janeiro34591171012151619[[#This Row],[DEZEMBRO]]</f>
        <v>0</v>
      </c>
      <c r="O98" s="224">
        <f>SUM(Fluxo_de_Caixa_Janeiro31020817[[#This Row],[Janeiro]:[Dezembro]])</f>
        <v>0</v>
      </c>
      <c r="P98" s="194" t="str">
        <f t="shared" si="5"/>
        <v>0,00%</v>
      </c>
      <c r="Q98" s="75"/>
      <c r="R98" s="32" t="str">
        <f>IF(Fluxo_de_Caixa_Janeiro31020817[[#This Row],[% ACUMULADO  2º SEMEST 2025]]&lt;=Fluxo_de_Caixa_Janeiro31020817[[#This Row],[Coluna1]],"VERDADEIRO","FALSO")</f>
        <v>FALSO</v>
      </c>
    </row>
    <row r="99" spans="1:20" ht="15.75" hidden="1" thickBot="1" x14ac:dyDescent="0.3">
      <c r="B99" s="276">
        <f>Fluxo_de_Caixa_Janeiro[[#This Row],[Fluxo de Caixa 2026 CTR]]</f>
        <v>0</v>
      </c>
      <c r="C99" s="36"/>
      <c r="D99" s="82"/>
      <c r="E99" s="82"/>
      <c r="F99" s="82"/>
      <c r="G99" s="82"/>
      <c r="H99" s="82"/>
      <c r="I99" s="36">
        <f>Fluxo_de_Caixa_Janeiro3459117[[#This Row],[JULHO]]</f>
        <v>0</v>
      </c>
      <c r="J99" s="82">
        <f>Fluxo_de_Caixa_Janeiro345911710[[#This Row],[AGOSTO]]</f>
        <v>0</v>
      </c>
      <c r="K99" s="82">
        <f>Fluxo_de_Caixa_Janeiro34591171012[[#This Row],[SETEMBRO]]</f>
        <v>0</v>
      </c>
      <c r="L99" s="82">
        <f>Fluxo_de_Caixa_Janeiro3459117101215[[#This Row],[OUTUBRO]]</f>
        <v>0</v>
      </c>
      <c r="M99" s="82">
        <f>Fluxo_de_Caixa_Janeiro345911710121516[[#This Row],[NOVEMBRO]]</f>
        <v>0</v>
      </c>
      <c r="N99" s="120">
        <f>Fluxo_de_Caixa_Janeiro34591171012151619[[#This Row],[DEZEMBRO]]</f>
        <v>0</v>
      </c>
      <c r="O99" s="225">
        <f>SUM(Fluxo_de_Caixa_Janeiro31020817[[#This Row],[Janeiro]:[Dezembro]])</f>
        <v>0</v>
      </c>
      <c r="P99" s="195" t="str">
        <f t="shared" si="5"/>
        <v>0,00%</v>
      </c>
      <c r="Q99" s="96"/>
      <c r="R99" s="32" t="str">
        <f>IF(Fluxo_de_Caixa_Janeiro31020817[[#This Row],[% ACUMULADO  2º SEMEST 2025]]&lt;=Fluxo_de_Caixa_Janeiro31020817[[#This Row],[Coluna1]],"VERDADEIRO","FALSO")</f>
        <v>FALSO</v>
      </c>
    </row>
    <row r="100" spans="1:20" ht="19.5" thickBot="1" x14ac:dyDescent="0.35">
      <c r="A100" s="15" t="s">
        <v>3</v>
      </c>
      <c r="B100" s="168" t="str">
        <f>Fluxo_de_Caixa_Janeiro[[#This Row],[Fluxo de Caixa 2026 CTR]]</f>
        <v>3.2. DESPESA COM FUNCIONÁRIO</v>
      </c>
      <c r="C100" s="158"/>
      <c r="D100" s="97"/>
      <c r="E100" s="97"/>
      <c r="F100" s="97"/>
      <c r="G100" s="97"/>
      <c r="H100" s="97"/>
      <c r="I100" s="158">
        <f>Fluxo_de_Caixa_Janeiro3459117[[#This Row],[JULHO]]</f>
        <v>0</v>
      </c>
      <c r="J100" s="97">
        <f>Fluxo_de_Caixa_Janeiro345911710[[#This Row],[AGOSTO]]</f>
        <v>0</v>
      </c>
      <c r="K100" s="97">
        <f>Fluxo_de_Caixa_Janeiro34591171012[[#This Row],[SETEMBRO]]</f>
        <v>0</v>
      </c>
      <c r="L100" s="97">
        <f>Fluxo_de_Caixa_Janeiro3459117101215[[#This Row],[OUTUBRO]]</f>
        <v>0</v>
      </c>
      <c r="M100" s="97">
        <f>Fluxo_de_Caixa_Janeiro345911710121516[[#This Row],[NOVEMBRO]]</f>
        <v>0</v>
      </c>
      <c r="N100" s="129">
        <f>Fluxo_de_Caixa_Janeiro34591171012151619[[#This Row],[DEZEMBRO]]</f>
        <v>0</v>
      </c>
      <c r="O100" s="226">
        <f>SUM(Fluxo_de_Caixa_Janeiro31020817[[#This Row],[Janeiro]:[Dezembro]])</f>
        <v>0</v>
      </c>
      <c r="P100" s="144">
        <f>-IFERROR(O100/$O$27,"0,00")</f>
        <v>0</v>
      </c>
      <c r="Q100" s="98"/>
      <c r="R100" s="32" t="str">
        <f>IF(Fluxo_de_Caixa_Janeiro31020817[[#This Row],[% ACUMULADO  2º SEMEST 2025]]&lt;=Fluxo_de_Caixa_Janeiro31020817[[#This Row],[Coluna1]],"VERDADEIRO","FALSO")</f>
        <v>VERDADEIRO</v>
      </c>
    </row>
    <row r="101" spans="1:20" x14ac:dyDescent="0.25">
      <c r="B101" s="169" t="str">
        <f>Fluxo_de_Caixa_Janeiro[[#This Row],[Fluxo de Caixa 2026 CTR]]</f>
        <v>3.2.01. Salário (CLT)</v>
      </c>
      <c r="C101" s="41"/>
      <c r="D101" s="81"/>
      <c r="E101" s="81"/>
      <c r="F101" s="81"/>
      <c r="G101" s="81"/>
      <c r="H101" s="81"/>
      <c r="I101" s="41">
        <f>Fluxo_de_Caixa_Janeiro3459117[[#This Row],[JULHO]]</f>
        <v>0</v>
      </c>
      <c r="J101" s="81">
        <f>Fluxo_de_Caixa_Janeiro345911710[[#This Row],[AGOSTO]]</f>
        <v>0</v>
      </c>
      <c r="K101" s="81">
        <f>Fluxo_de_Caixa_Janeiro34591171012[[#This Row],[SETEMBRO]]</f>
        <v>0</v>
      </c>
      <c r="L101" s="81">
        <f>Fluxo_de_Caixa_Janeiro3459117101215[[#This Row],[OUTUBRO]]</f>
        <v>0</v>
      </c>
      <c r="M101" s="81">
        <f>Fluxo_de_Caixa_Janeiro345911710121516[[#This Row],[NOVEMBRO]]</f>
        <v>0</v>
      </c>
      <c r="N101" s="118">
        <f>Fluxo_de_Caixa_Janeiro34591171012151619[[#This Row],[DEZEMBRO]]</f>
        <v>0</v>
      </c>
      <c r="O101" s="223">
        <f>SUM(Fluxo_de_Caixa_Janeiro31020817[[#This Row],[Janeiro]:[Dezembro]])</f>
        <v>0</v>
      </c>
      <c r="P101" s="193" t="str">
        <f t="shared" ref="P101:P130" si="6">IFERROR(O101/$O$27,"0,00%")</f>
        <v>0,00%</v>
      </c>
      <c r="Q101" s="93"/>
      <c r="R101" s="32" t="str">
        <f>IF(Fluxo_de_Caixa_Janeiro31020817[[#This Row],[% ACUMULADO  2º SEMEST 2025]]&lt;=Fluxo_de_Caixa_Janeiro31020817[[#This Row],[Coluna1]],"VERDADEIRO","FALSO")</f>
        <v>FALSO</v>
      </c>
    </row>
    <row r="102" spans="1:20" x14ac:dyDescent="0.25">
      <c r="B102" s="55" t="str">
        <f>Fluxo_de_Caixa_Janeiro[[#This Row],[Fluxo de Caixa 2026 CTR]]</f>
        <v>3.2.02. Adiantamento Salários/Vales</v>
      </c>
      <c r="C102" s="35"/>
      <c r="D102" s="62"/>
      <c r="E102" s="62"/>
      <c r="F102" s="62"/>
      <c r="G102" s="62"/>
      <c r="H102" s="62"/>
      <c r="I102" s="35">
        <f>Fluxo_de_Caixa_Janeiro3459117[[#This Row],[JULHO]]</f>
        <v>0</v>
      </c>
      <c r="J102" s="62">
        <f>Fluxo_de_Caixa_Janeiro345911710[[#This Row],[AGOSTO]]</f>
        <v>0</v>
      </c>
      <c r="K102" s="62">
        <f>Fluxo_de_Caixa_Janeiro34591171012[[#This Row],[SETEMBRO]]</f>
        <v>0</v>
      </c>
      <c r="L102" s="62">
        <f>Fluxo_de_Caixa_Janeiro3459117101215[[#This Row],[OUTUBRO]]</f>
        <v>0</v>
      </c>
      <c r="M102" s="62">
        <f>Fluxo_de_Caixa_Janeiro345911710121516[[#This Row],[NOVEMBRO]]</f>
        <v>0</v>
      </c>
      <c r="N102" s="119">
        <f>Fluxo_de_Caixa_Janeiro34591171012151619[[#This Row],[DEZEMBRO]]</f>
        <v>0</v>
      </c>
      <c r="O102" s="224">
        <f>SUM(Fluxo_de_Caixa_Janeiro31020817[[#This Row],[Janeiro]:[Dezembro]])</f>
        <v>0</v>
      </c>
      <c r="P102" s="194" t="str">
        <f t="shared" si="6"/>
        <v>0,00%</v>
      </c>
      <c r="Q102" s="75"/>
      <c r="R102" s="32" t="str">
        <f>IF(Fluxo_de_Caixa_Janeiro31020817[[#This Row],[% ACUMULADO  2º SEMEST 2025]]&lt;=Fluxo_de_Caixa_Janeiro31020817[[#This Row],[Coluna1]],"VERDADEIRO","FALSO")</f>
        <v>FALSO</v>
      </c>
      <c r="T102" s="287"/>
    </row>
    <row r="103" spans="1:20" x14ac:dyDescent="0.25">
      <c r="B103" s="55" t="str">
        <f>Fluxo_de_Caixa_Janeiro[[#This Row],[Fluxo de Caixa 2026 CTR]]</f>
        <v xml:space="preserve">3.2.03. Auxilio Alimentação/Refeição </v>
      </c>
      <c r="C103" s="35"/>
      <c r="D103" s="62"/>
      <c r="E103" s="62"/>
      <c r="F103" s="62"/>
      <c r="G103" s="62"/>
      <c r="H103" s="62"/>
      <c r="I103" s="35">
        <f>Fluxo_de_Caixa_Janeiro3459117[[#This Row],[JULHO]]</f>
        <v>0</v>
      </c>
      <c r="J103" s="62">
        <f>Fluxo_de_Caixa_Janeiro345911710[[#This Row],[AGOSTO]]</f>
        <v>0</v>
      </c>
      <c r="K103" s="62">
        <f>Fluxo_de_Caixa_Janeiro34591171012[[#This Row],[SETEMBRO]]</f>
        <v>0</v>
      </c>
      <c r="L103" s="62">
        <f>Fluxo_de_Caixa_Janeiro3459117101215[[#This Row],[OUTUBRO]]</f>
        <v>0</v>
      </c>
      <c r="M103" s="62">
        <f>Fluxo_de_Caixa_Janeiro345911710121516[[#This Row],[NOVEMBRO]]</f>
        <v>0</v>
      </c>
      <c r="N103" s="119">
        <f>Fluxo_de_Caixa_Janeiro34591171012151619[[#This Row],[DEZEMBRO]]</f>
        <v>0</v>
      </c>
      <c r="O103" s="224">
        <f>SUM(Fluxo_de_Caixa_Janeiro31020817[[#This Row],[Janeiro]:[Dezembro]])</f>
        <v>0</v>
      </c>
      <c r="P103" s="194" t="str">
        <f t="shared" si="6"/>
        <v>0,00%</v>
      </c>
      <c r="Q103" s="75"/>
      <c r="R103" s="32" t="str">
        <f>IF(Fluxo_de_Caixa_Janeiro31020817[[#This Row],[% ACUMULADO  2º SEMEST 2025]]&lt;=Fluxo_de_Caixa_Janeiro31020817[[#This Row],[Coluna1]],"VERDADEIRO","FALSO")</f>
        <v>FALSO</v>
      </c>
    </row>
    <row r="104" spans="1:20" x14ac:dyDescent="0.25">
      <c r="B104" s="55" t="str">
        <f>Fluxo_de_Caixa_Janeiro[[#This Row],[Fluxo de Caixa 2026 CTR]]</f>
        <v>3.2.04. Auxilio Combustível</v>
      </c>
      <c r="C104" s="35"/>
      <c r="D104" s="62"/>
      <c r="E104" s="62"/>
      <c r="F104" s="62"/>
      <c r="G104" s="62"/>
      <c r="H104" s="62"/>
      <c r="I104" s="35">
        <f>Fluxo_de_Caixa_Janeiro3459117[[#This Row],[JULHO]]</f>
        <v>0</v>
      </c>
      <c r="J104" s="62">
        <f>Fluxo_de_Caixa_Janeiro345911710[[#This Row],[AGOSTO]]</f>
        <v>0</v>
      </c>
      <c r="K104" s="62">
        <f>Fluxo_de_Caixa_Janeiro34591171012[[#This Row],[SETEMBRO]]</f>
        <v>0</v>
      </c>
      <c r="L104" s="62">
        <f>Fluxo_de_Caixa_Janeiro3459117101215[[#This Row],[OUTUBRO]]</f>
        <v>0</v>
      </c>
      <c r="M104" s="62">
        <f>Fluxo_de_Caixa_Janeiro345911710121516[[#This Row],[NOVEMBRO]]</f>
        <v>0</v>
      </c>
      <c r="N104" s="119">
        <f>Fluxo_de_Caixa_Janeiro34591171012151619[[#This Row],[DEZEMBRO]]</f>
        <v>0</v>
      </c>
      <c r="O104" s="224">
        <f>SUM(Fluxo_de_Caixa_Janeiro31020817[[#This Row],[Janeiro]:[Dezembro]])</f>
        <v>0</v>
      </c>
      <c r="P104" s="194" t="str">
        <f t="shared" si="6"/>
        <v>0,00%</v>
      </c>
      <c r="Q104" s="75"/>
      <c r="R104" s="32" t="str">
        <f>IF(Fluxo_de_Caixa_Janeiro31020817[[#This Row],[% ACUMULADO  2º SEMEST 2025]]&lt;=Fluxo_de_Caixa_Janeiro31020817[[#This Row],[Coluna1]],"VERDADEIRO","FALSO")</f>
        <v>FALSO</v>
      </c>
    </row>
    <row r="105" spans="1:20" x14ac:dyDescent="0.25">
      <c r="B105" s="55" t="str">
        <f>Fluxo_de_Caixa_Janeiro[[#This Row],[Fluxo de Caixa 2026 CTR]]</f>
        <v>3.2.05. Seguro de Vida Funcionarios</v>
      </c>
      <c r="C105" s="35"/>
      <c r="D105" s="62"/>
      <c r="E105" s="62"/>
      <c r="F105" s="62"/>
      <c r="G105" s="62"/>
      <c r="H105" s="62"/>
      <c r="I105" s="35">
        <f>Fluxo_de_Caixa_Janeiro3459117[[#This Row],[JULHO]]</f>
        <v>0</v>
      </c>
      <c r="J105" s="62">
        <f>Fluxo_de_Caixa_Janeiro345911710[[#This Row],[AGOSTO]]</f>
        <v>0</v>
      </c>
      <c r="K105" s="62">
        <f>Fluxo_de_Caixa_Janeiro34591171012[[#This Row],[SETEMBRO]]</f>
        <v>0</v>
      </c>
      <c r="L105" s="62">
        <f>Fluxo_de_Caixa_Janeiro3459117101215[[#This Row],[OUTUBRO]]</f>
        <v>0</v>
      </c>
      <c r="M105" s="62">
        <f>Fluxo_de_Caixa_Janeiro345911710121516[[#This Row],[NOVEMBRO]]</f>
        <v>0</v>
      </c>
      <c r="N105" s="119">
        <f>Fluxo_de_Caixa_Janeiro34591171012151619[[#This Row],[DEZEMBRO]]</f>
        <v>0</v>
      </c>
      <c r="O105" s="224">
        <f>SUM(Fluxo_de_Caixa_Janeiro31020817[[#This Row],[Janeiro]:[Dezembro]])</f>
        <v>0</v>
      </c>
      <c r="P105" s="194" t="str">
        <f t="shared" si="6"/>
        <v>0,00%</v>
      </c>
      <c r="Q105" s="75"/>
      <c r="R105" s="32" t="str">
        <f>IF(Fluxo_de_Caixa_Janeiro31020817[[#This Row],[% ACUMULADO  2º SEMEST 2025]]&lt;=Fluxo_de_Caixa_Janeiro31020817[[#This Row],[Coluna1]],"VERDADEIRO","FALSO")</f>
        <v>FALSO</v>
      </c>
    </row>
    <row r="106" spans="1:20" x14ac:dyDescent="0.25">
      <c r="B106" s="55" t="str">
        <f>Fluxo_de_Caixa_Janeiro[[#This Row],[Fluxo de Caixa 2026 CTR]]</f>
        <v>3.2.06. Confraternização e premiação</v>
      </c>
      <c r="C106" s="35"/>
      <c r="D106" s="62"/>
      <c r="E106" s="62"/>
      <c r="F106" s="62"/>
      <c r="G106" s="62"/>
      <c r="H106" s="62"/>
      <c r="I106" s="35">
        <f>Fluxo_de_Caixa_Janeiro3459117[[#This Row],[JULHO]]</f>
        <v>0</v>
      </c>
      <c r="J106" s="62">
        <f>Fluxo_de_Caixa_Janeiro345911710[[#This Row],[AGOSTO]]</f>
        <v>0</v>
      </c>
      <c r="K106" s="62">
        <f>Fluxo_de_Caixa_Janeiro34591171012[[#This Row],[SETEMBRO]]</f>
        <v>0</v>
      </c>
      <c r="L106" s="62">
        <f>Fluxo_de_Caixa_Janeiro3459117101215[[#This Row],[OUTUBRO]]</f>
        <v>0</v>
      </c>
      <c r="M106" s="62">
        <f>Fluxo_de_Caixa_Janeiro345911710121516[[#This Row],[NOVEMBRO]]</f>
        <v>0</v>
      </c>
      <c r="N106" s="119">
        <f>Fluxo_de_Caixa_Janeiro34591171012151619[[#This Row],[DEZEMBRO]]</f>
        <v>0</v>
      </c>
      <c r="O106" s="224">
        <f>SUM(Fluxo_de_Caixa_Janeiro31020817[[#This Row],[Janeiro]:[Dezembro]])</f>
        <v>0</v>
      </c>
      <c r="P106" s="194" t="str">
        <f t="shared" si="6"/>
        <v>0,00%</v>
      </c>
      <c r="Q106" s="75"/>
      <c r="R106" s="32" t="str">
        <f>IF(Fluxo_de_Caixa_Janeiro31020817[[#This Row],[% ACUMULADO  2º SEMEST 2025]]&lt;=Fluxo_de_Caixa_Janeiro31020817[[#This Row],[Coluna1]],"VERDADEIRO","FALSO")</f>
        <v>FALSO</v>
      </c>
    </row>
    <row r="107" spans="1:20" x14ac:dyDescent="0.25">
      <c r="B107" s="55" t="str">
        <f>Fluxo_de_Caixa_Janeiro[[#This Row],[Fluxo de Caixa 2026 CTR]]</f>
        <v>3.2.07. Viagens e Estadias Funcionarios</v>
      </c>
      <c r="C107" s="35"/>
      <c r="D107" s="62"/>
      <c r="E107" s="62"/>
      <c r="F107" s="62"/>
      <c r="G107" s="62"/>
      <c r="H107" s="62"/>
      <c r="I107" s="35">
        <f>Fluxo_de_Caixa_Janeiro3459117[[#This Row],[JULHO]]</f>
        <v>0</v>
      </c>
      <c r="J107" s="62">
        <f>Fluxo_de_Caixa_Janeiro345911710[[#This Row],[AGOSTO]]</f>
        <v>0</v>
      </c>
      <c r="K107" s="62">
        <f>Fluxo_de_Caixa_Janeiro34591171012[[#This Row],[SETEMBRO]]</f>
        <v>0</v>
      </c>
      <c r="L107" s="62">
        <f>Fluxo_de_Caixa_Janeiro3459117101215[[#This Row],[OUTUBRO]]</f>
        <v>0</v>
      </c>
      <c r="M107" s="62">
        <f>Fluxo_de_Caixa_Janeiro345911710121516[[#This Row],[NOVEMBRO]]</f>
        <v>0</v>
      </c>
      <c r="N107" s="119">
        <f>Fluxo_de_Caixa_Janeiro34591171012151619[[#This Row],[DEZEMBRO]]</f>
        <v>0</v>
      </c>
      <c r="O107" s="224">
        <f>SUM(Fluxo_de_Caixa_Janeiro31020817[[#This Row],[Janeiro]:[Dezembro]])</f>
        <v>0</v>
      </c>
      <c r="P107" s="194" t="str">
        <f t="shared" si="6"/>
        <v>0,00%</v>
      </c>
      <c r="Q107" s="75"/>
      <c r="R107" s="32" t="str">
        <f>IF(Fluxo_de_Caixa_Janeiro31020817[[#This Row],[% ACUMULADO  2º SEMEST 2025]]&lt;=Fluxo_de_Caixa_Janeiro31020817[[#This Row],[Coluna1]],"VERDADEIRO","FALSO")</f>
        <v>FALSO</v>
      </c>
    </row>
    <row r="108" spans="1:20" x14ac:dyDescent="0.25">
      <c r="B108" s="55" t="str">
        <f>Fluxo_de_Caixa_Janeiro[[#This Row],[Fluxo de Caixa 2026 CTR]]</f>
        <v>3.2.08. Treinamento e Cursos</v>
      </c>
      <c r="C108" s="35"/>
      <c r="D108" s="62"/>
      <c r="E108" s="62"/>
      <c r="F108" s="62"/>
      <c r="G108" s="62"/>
      <c r="H108" s="62"/>
      <c r="I108" s="35">
        <f>Fluxo_de_Caixa_Janeiro3459117[[#This Row],[JULHO]]</f>
        <v>0</v>
      </c>
      <c r="J108" s="62">
        <f>Fluxo_de_Caixa_Janeiro345911710[[#This Row],[AGOSTO]]</f>
        <v>0</v>
      </c>
      <c r="K108" s="62">
        <f>Fluxo_de_Caixa_Janeiro34591171012[[#This Row],[SETEMBRO]]</f>
        <v>0</v>
      </c>
      <c r="L108" s="62">
        <f>Fluxo_de_Caixa_Janeiro3459117101215[[#This Row],[OUTUBRO]]</f>
        <v>0</v>
      </c>
      <c r="M108" s="62">
        <f>Fluxo_de_Caixa_Janeiro345911710121516[[#This Row],[NOVEMBRO]]</f>
        <v>0</v>
      </c>
      <c r="N108" s="119">
        <f>Fluxo_de_Caixa_Janeiro34591171012151619[[#This Row],[DEZEMBRO]]</f>
        <v>0</v>
      </c>
      <c r="O108" s="224">
        <f>SUM(Fluxo_de_Caixa_Janeiro31020817[[#This Row],[Janeiro]:[Dezembro]])</f>
        <v>0</v>
      </c>
      <c r="P108" s="194" t="str">
        <f t="shared" si="6"/>
        <v>0,00%</v>
      </c>
      <c r="Q108" s="75"/>
      <c r="R108" s="32" t="str">
        <f>IF(Fluxo_de_Caixa_Janeiro31020817[[#This Row],[% ACUMULADO  2º SEMEST 2025]]&lt;=Fluxo_de_Caixa_Janeiro31020817[[#This Row],[Coluna1]],"VERDADEIRO","FALSO")</f>
        <v>FALSO</v>
      </c>
    </row>
    <row r="109" spans="1:20" x14ac:dyDescent="0.25">
      <c r="B109" s="55" t="str">
        <f>Fluxo_de_Caixa_Janeiro[[#This Row],[Fluxo de Caixa 2026 CTR]]</f>
        <v>3.2.09. Ajuda de Custo Faculdade/Pós Graduação</v>
      </c>
      <c r="C109" s="35"/>
      <c r="D109" s="62"/>
      <c r="E109" s="62"/>
      <c r="F109" s="62"/>
      <c r="G109" s="62"/>
      <c r="H109" s="62"/>
      <c r="I109" s="35">
        <f>Fluxo_de_Caixa_Janeiro3459117[[#This Row],[JULHO]]</f>
        <v>0</v>
      </c>
      <c r="J109" s="62">
        <f>Fluxo_de_Caixa_Janeiro345911710[[#This Row],[AGOSTO]]</f>
        <v>0</v>
      </c>
      <c r="K109" s="62">
        <f>Fluxo_de_Caixa_Janeiro34591171012[[#This Row],[SETEMBRO]]</f>
        <v>0</v>
      </c>
      <c r="L109" s="62">
        <f>Fluxo_de_Caixa_Janeiro3459117101215[[#This Row],[OUTUBRO]]</f>
        <v>0</v>
      </c>
      <c r="M109" s="62">
        <f>Fluxo_de_Caixa_Janeiro345911710121516[[#This Row],[NOVEMBRO]]</f>
        <v>0</v>
      </c>
      <c r="N109" s="119">
        <f>Fluxo_de_Caixa_Janeiro34591171012151619[[#This Row],[DEZEMBRO]]</f>
        <v>0</v>
      </c>
      <c r="O109" s="224">
        <f>SUM(Fluxo_de_Caixa_Janeiro31020817[[#This Row],[Janeiro]:[Dezembro]])</f>
        <v>0</v>
      </c>
      <c r="P109" s="194" t="str">
        <f t="shared" si="6"/>
        <v>0,00%</v>
      </c>
      <c r="Q109" s="75"/>
      <c r="R109" s="32" t="str">
        <f>IF(Fluxo_de_Caixa_Janeiro31020817[[#This Row],[% ACUMULADO  2º SEMEST 2025]]&lt;=Fluxo_de_Caixa_Janeiro31020817[[#This Row],[Coluna1]],"VERDADEIRO","FALSO")</f>
        <v>FALSO</v>
      </c>
    </row>
    <row r="110" spans="1:20" x14ac:dyDescent="0.25">
      <c r="B110" s="55" t="str">
        <f>Fluxo_de_Caixa_Janeiro[[#This Row],[Fluxo de Caixa 2026 CTR]]</f>
        <v>3.2.10. Férias</v>
      </c>
      <c r="C110" s="35"/>
      <c r="D110" s="62"/>
      <c r="E110" s="62"/>
      <c r="F110" s="62"/>
      <c r="G110" s="62"/>
      <c r="H110" s="62"/>
      <c r="I110" s="35">
        <f>Fluxo_de_Caixa_Janeiro3459117[[#This Row],[JULHO]]</f>
        <v>0</v>
      </c>
      <c r="J110" s="62">
        <f>Fluxo_de_Caixa_Janeiro345911710[[#This Row],[AGOSTO]]</f>
        <v>0</v>
      </c>
      <c r="K110" s="62">
        <f>Fluxo_de_Caixa_Janeiro34591171012[[#This Row],[SETEMBRO]]</f>
        <v>0</v>
      </c>
      <c r="L110" s="62">
        <f>Fluxo_de_Caixa_Janeiro3459117101215[[#This Row],[OUTUBRO]]</f>
        <v>0</v>
      </c>
      <c r="M110" s="62">
        <f>Fluxo_de_Caixa_Janeiro345911710121516[[#This Row],[NOVEMBRO]]</f>
        <v>0</v>
      </c>
      <c r="N110" s="119">
        <f>Fluxo_de_Caixa_Janeiro34591171012151619[[#This Row],[DEZEMBRO]]</f>
        <v>0</v>
      </c>
      <c r="O110" s="224">
        <f>SUM(Fluxo_de_Caixa_Janeiro31020817[[#This Row],[Janeiro]:[Dezembro]])</f>
        <v>0</v>
      </c>
      <c r="P110" s="194" t="str">
        <f t="shared" si="6"/>
        <v>0,00%</v>
      </c>
      <c r="Q110" s="75"/>
      <c r="R110" s="32" t="str">
        <f>IF(Fluxo_de_Caixa_Janeiro31020817[[#This Row],[% ACUMULADO  2º SEMEST 2025]]&lt;=Fluxo_de_Caixa_Janeiro31020817[[#This Row],[Coluna1]],"VERDADEIRO","FALSO")</f>
        <v>FALSO</v>
      </c>
    </row>
    <row r="111" spans="1:20" x14ac:dyDescent="0.25">
      <c r="B111" s="55" t="str">
        <f>Fluxo_de_Caixa_Janeiro[[#This Row],[Fluxo de Caixa 2026 CTR]]</f>
        <v>3.2.11. Auxilio Saúde e Odontológico</v>
      </c>
      <c r="C111" s="35"/>
      <c r="D111" s="62"/>
      <c r="E111" s="62"/>
      <c r="F111" s="62"/>
      <c r="G111" s="62"/>
      <c r="H111" s="62"/>
      <c r="I111" s="35">
        <f>Fluxo_de_Caixa_Janeiro3459117[[#This Row],[JULHO]]</f>
        <v>0</v>
      </c>
      <c r="J111" s="62">
        <f>Fluxo_de_Caixa_Janeiro345911710[[#This Row],[AGOSTO]]</f>
        <v>0</v>
      </c>
      <c r="K111" s="62">
        <f>Fluxo_de_Caixa_Janeiro34591171012[[#This Row],[SETEMBRO]]</f>
        <v>0</v>
      </c>
      <c r="L111" s="62">
        <f>Fluxo_de_Caixa_Janeiro3459117101215[[#This Row],[OUTUBRO]]</f>
        <v>0</v>
      </c>
      <c r="M111" s="62">
        <f>Fluxo_de_Caixa_Janeiro345911710121516[[#This Row],[NOVEMBRO]]</f>
        <v>0</v>
      </c>
      <c r="N111" s="119">
        <f>Fluxo_de_Caixa_Janeiro34591171012151619[[#This Row],[DEZEMBRO]]</f>
        <v>0</v>
      </c>
      <c r="O111" s="224">
        <f>SUM(Fluxo_de_Caixa_Janeiro31020817[[#This Row],[Janeiro]:[Dezembro]])</f>
        <v>0</v>
      </c>
      <c r="P111" s="194" t="str">
        <f t="shared" si="6"/>
        <v>0,00%</v>
      </c>
      <c r="Q111" s="75"/>
      <c r="R111" s="32" t="str">
        <f>IF(Fluxo_de_Caixa_Janeiro31020817[[#This Row],[% ACUMULADO  2º SEMEST 2025]]&lt;=Fluxo_de_Caixa_Janeiro31020817[[#This Row],[Coluna1]],"VERDADEIRO","FALSO")</f>
        <v>FALSO</v>
      </c>
    </row>
    <row r="112" spans="1:20" x14ac:dyDescent="0.25">
      <c r="B112" s="55" t="str">
        <f>Fluxo_de_Caixa_Janeiro[[#This Row],[Fluxo de Caixa 2026 CTR]]</f>
        <v>3.2.12. Vale Transporte</v>
      </c>
      <c r="C112" s="35"/>
      <c r="D112" s="62"/>
      <c r="E112" s="62"/>
      <c r="F112" s="62"/>
      <c r="G112" s="62"/>
      <c r="H112" s="62"/>
      <c r="I112" s="35">
        <f>Fluxo_de_Caixa_Janeiro3459117[[#This Row],[JULHO]]</f>
        <v>0</v>
      </c>
      <c r="J112" s="62">
        <f>Fluxo_de_Caixa_Janeiro345911710[[#This Row],[AGOSTO]]</f>
        <v>0</v>
      </c>
      <c r="K112" s="62">
        <f>Fluxo_de_Caixa_Janeiro34591171012[[#This Row],[SETEMBRO]]</f>
        <v>0</v>
      </c>
      <c r="L112" s="62">
        <f>Fluxo_de_Caixa_Janeiro3459117101215[[#This Row],[OUTUBRO]]</f>
        <v>0</v>
      </c>
      <c r="M112" s="62">
        <f>Fluxo_de_Caixa_Janeiro345911710121516[[#This Row],[NOVEMBRO]]</f>
        <v>0</v>
      </c>
      <c r="N112" s="119">
        <f>Fluxo_de_Caixa_Janeiro34591171012151619[[#This Row],[DEZEMBRO]]</f>
        <v>0</v>
      </c>
      <c r="O112" s="224">
        <f>SUM(Fluxo_de_Caixa_Janeiro31020817[[#This Row],[Janeiro]:[Dezembro]])</f>
        <v>0</v>
      </c>
      <c r="P112" s="194" t="str">
        <f t="shared" si="6"/>
        <v>0,00%</v>
      </c>
      <c r="Q112" s="75"/>
      <c r="R112" s="32" t="str">
        <f>IF(Fluxo_de_Caixa_Janeiro31020817[[#This Row],[% ACUMULADO  2º SEMEST 2025]]&lt;=Fluxo_de_Caixa_Janeiro31020817[[#This Row],[Coluna1]],"VERDADEIRO","FALSO")</f>
        <v>FALSO</v>
      </c>
    </row>
    <row r="113" spans="2:18" x14ac:dyDescent="0.25">
      <c r="B113" s="55" t="str">
        <f>Fluxo_de_Caixa_Janeiro[[#This Row],[Fluxo de Caixa 2026 CTR]]</f>
        <v>3.2.13. FGTS</v>
      </c>
      <c r="C113" s="35"/>
      <c r="D113" s="62"/>
      <c r="E113" s="62"/>
      <c r="F113" s="62"/>
      <c r="G113" s="62"/>
      <c r="H113" s="62"/>
      <c r="I113" s="35">
        <f>Fluxo_de_Caixa_Janeiro3459117[[#This Row],[JULHO]]</f>
        <v>0</v>
      </c>
      <c r="J113" s="62">
        <f>Fluxo_de_Caixa_Janeiro345911710[[#This Row],[AGOSTO]]</f>
        <v>0</v>
      </c>
      <c r="K113" s="62">
        <f>Fluxo_de_Caixa_Janeiro34591171012[[#This Row],[SETEMBRO]]</f>
        <v>0</v>
      </c>
      <c r="L113" s="62">
        <f>Fluxo_de_Caixa_Janeiro3459117101215[[#This Row],[OUTUBRO]]</f>
        <v>0</v>
      </c>
      <c r="M113" s="62">
        <f>Fluxo_de_Caixa_Janeiro345911710121516[[#This Row],[NOVEMBRO]]</f>
        <v>0</v>
      </c>
      <c r="N113" s="119">
        <f>Fluxo_de_Caixa_Janeiro34591171012151619[[#This Row],[DEZEMBRO]]</f>
        <v>0</v>
      </c>
      <c r="O113" s="224">
        <f>SUM(Fluxo_de_Caixa_Janeiro31020817[[#This Row],[Janeiro]:[Dezembro]])</f>
        <v>0</v>
      </c>
      <c r="P113" s="194" t="str">
        <f t="shared" si="6"/>
        <v>0,00%</v>
      </c>
      <c r="Q113" s="75"/>
      <c r="R113" s="32" t="str">
        <f>IF(Fluxo_de_Caixa_Janeiro31020817[[#This Row],[% ACUMULADO  2º SEMEST 2025]]&lt;=Fluxo_de_Caixa_Janeiro31020817[[#This Row],[Coluna1]],"VERDADEIRO","FALSO")</f>
        <v>FALSO</v>
      </c>
    </row>
    <row r="114" spans="2:18" x14ac:dyDescent="0.25">
      <c r="B114" s="169" t="str">
        <f>Fluxo_de_Caixa_Janeiro[[#This Row],[Fluxo de Caixa 2026 CTR]]</f>
        <v xml:space="preserve">3.2.14. INSS/GPS </v>
      </c>
      <c r="C114" s="41"/>
      <c r="D114" s="81"/>
      <c r="E114" s="81"/>
      <c r="F114" s="81"/>
      <c r="G114" s="81"/>
      <c r="H114" s="81"/>
      <c r="I114" s="41">
        <f>Fluxo_de_Caixa_Janeiro3459117[[#This Row],[JULHO]]</f>
        <v>0</v>
      </c>
      <c r="J114" s="81">
        <f>Fluxo_de_Caixa_Janeiro345911710[[#This Row],[AGOSTO]]</f>
        <v>0</v>
      </c>
      <c r="K114" s="81">
        <f>Fluxo_de_Caixa_Janeiro34591171012[[#This Row],[SETEMBRO]]</f>
        <v>0</v>
      </c>
      <c r="L114" s="81">
        <f>Fluxo_de_Caixa_Janeiro3459117101215[[#This Row],[OUTUBRO]]</f>
        <v>0</v>
      </c>
      <c r="M114" s="81">
        <f>Fluxo_de_Caixa_Janeiro345911710121516[[#This Row],[NOVEMBRO]]</f>
        <v>0</v>
      </c>
      <c r="N114" s="118">
        <f>Fluxo_de_Caixa_Janeiro34591171012151619[[#This Row],[DEZEMBRO]]</f>
        <v>0</v>
      </c>
      <c r="O114" s="223">
        <f>SUM(Fluxo_de_Caixa_Janeiro31020817[[#This Row],[Janeiro]:[Dezembro]])</f>
        <v>0</v>
      </c>
      <c r="P114" s="193" t="str">
        <f t="shared" si="6"/>
        <v>0,00%</v>
      </c>
      <c r="Q114" s="93"/>
      <c r="R114" s="32" t="str">
        <f>IF(Fluxo_de_Caixa_Janeiro31020817[[#This Row],[% ACUMULADO  2º SEMEST 2025]]&lt;=Fluxo_de_Caixa_Janeiro31020817[[#This Row],[Coluna1]],"VERDADEIRO","FALSO")</f>
        <v>FALSO</v>
      </c>
    </row>
    <row r="115" spans="2:18" x14ac:dyDescent="0.25">
      <c r="B115" s="55" t="str">
        <f>Fluxo_de_Caixa_Janeiro[[#This Row],[Fluxo de Caixa 2026 CTR]]</f>
        <v>3.2.15. Contribuição Sindical</v>
      </c>
      <c r="C115" s="35"/>
      <c r="D115" s="62"/>
      <c r="E115" s="62"/>
      <c r="F115" s="62"/>
      <c r="G115" s="62"/>
      <c r="H115" s="62"/>
      <c r="I115" s="35">
        <f>Fluxo_de_Caixa_Janeiro3459117[[#This Row],[JULHO]]</f>
        <v>0</v>
      </c>
      <c r="J115" s="62">
        <f>Fluxo_de_Caixa_Janeiro345911710[[#This Row],[AGOSTO]]</f>
        <v>0</v>
      </c>
      <c r="K115" s="62">
        <f>Fluxo_de_Caixa_Janeiro34591171012[[#This Row],[SETEMBRO]]</f>
        <v>0</v>
      </c>
      <c r="L115" s="62">
        <f>Fluxo_de_Caixa_Janeiro3459117101215[[#This Row],[OUTUBRO]]</f>
        <v>0</v>
      </c>
      <c r="M115" s="62">
        <f>Fluxo_de_Caixa_Janeiro345911710121516[[#This Row],[NOVEMBRO]]</f>
        <v>0</v>
      </c>
      <c r="N115" s="119">
        <f>Fluxo_de_Caixa_Janeiro34591171012151619[[#This Row],[DEZEMBRO]]</f>
        <v>0</v>
      </c>
      <c r="O115" s="224">
        <f>SUM(Fluxo_de_Caixa_Janeiro31020817[[#This Row],[Janeiro]:[Dezembro]])</f>
        <v>0</v>
      </c>
      <c r="P115" s="194" t="str">
        <f t="shared" si="6"/>
        <v>0,00%</v>
      </c>
      <c r="Q115" s="75"/>
      <c r="R115" s="32" t="str">
        <f>IF(Fluxo_de_Caixa_Janeiro31020817[[#This Row],[% ACUMULADO  2º SEMEST 2025]]&lt;=Fluxo_de_Caixa_Janeiro31020817[[#This Row],[Coluna1]],"VERDADEIRO","FALSO")</f>
        <v>FALSO</v>
      </c>
    </row>
    <row r="116" spans="2:18" x14ac:dyDescent="0.25">
      <c r="B116" s="55" t="str">
        <f>Fluxo_de_Caixa_Janeiro[[#This Row],[Fluxo de Caixa 2026 CTR]]</f>
        <v xml:space="preserve">3.2.16. Rescisão Trabalhista </v>
      </c>
      <c r="C116" s="35"/>
      <c r="D116" s="62"/>
      <c r="E116" s="62"/>
      <c r="F116" s="62"/>
      <c r="G116" s="62"/>
      <c r="H116" s="62"/>
      <c r="I116" s="35">
        <f>Fluxo_de_Caixa_Janeiro3459117[[#This Row],[JULHO]]</f>
        <v>0</v>
      </c>
      <c r="J116" s="62">
        <f>Fluxo_de_Caixa_Janeiro345911710[[#This Row],[AGOSTO]]</f>
        <v>0</v>
      </c>
      <c r="K116" s="62">
        <f>Fluxo_de_Caixa_Janeiro34591171012[[#This Row],[SETEMBRO]]</f>
        <v>0</v>
      </c>
      <c r="L116" s="62">
        <f>Fluxo_de_Caixa_Janeiro3459117101215[[#This Row],[OUTUBRO]]</f>
        <v>0</v>
      </c>
      <c r="M116" s="62">
        <f>Fluxo_de_Caixa_Janeiro345911710121516[[#This Row],[NOVEMBRO]]</f>
        <v>0</v>
      </c>
      <c r="N116" s="119">
        <f>Fluxo_de_Caixa_Janeiro34591171012151619[[#This Row],[DEZEMBRO]]</f>
        <v>0</v>
      </c>
      <c r="O116" s="224">
        <f>SUM(Fluxo_de_Caixa_Janeiro31020817[[#This Row],[Janeiro]:[Dezembro]])</f>
        <v>0</v>
      </c>
      <c r="P116" s="194" t="str">
        <f t="shared" si="6"/>
        <v>0,00%</v>
      </c>
      <c r="Q116" s="75"/>
      <c r="R116" s="32" t="str">
        <f>IF(Fluxo_de_Caixa_Janeiro31020817[[#This Row],[% ACUMULADO  2º SEMEST 2025]]&lt;=Fluxo_de_Caixa_Janeiro31020817[[#This Row],[Coluna1]],"VERDADEIRO","FALSO")</f>
        <v>FALSO</v>
      </c>
    </row>
    <row r="117" spans="2:18" x14ac:dyDescent="0.25">
      <c r="B117" s="55" t="str">
        <f>Fluxo_de_Caixa_Janeiro[[#This Row],[Fluxo de Caixa 2026 CTR]]</f>
        <v xml:space="preserve">3.2.17. Seleção e Contratação </v>
      </c>
      <c r="C117" s="35"/>
      <c r="D117" s="62"/>
      <c r="E117" s="62"/>
      <c r="F117" s="62"/>
      <c r="G117" s="62"/>
      <c r="H117" s="62"/>
      <c r="I117" s="35">
        <f>Fluxo_de_Caixa_Janeiro3459117[[#This Row],[JULHO]]</f>
        <v>0</v>
      </c>
      <c r="J117" s="62">
        <f>Fluxo_de_Caixa_Janeiro345911710[[#This Row],[AGOSTO]]</f>
        <v>0</v>
      </c>
      <c r="K117" s="62">
        <f>Fluxo_de_Caixa_Janeiro34591171012[[#This Row],[SETEMBRO]]</f>
        <v>0</v>
      </c>
      <c r="L117" s="62">
        <f>Fluxo_de_Caixa_Janeiro3459117101215[[#This Row],[OUTUBRO]]</f>
        <v>0</v>
      </c>
      <c r="M117" s="62">
        <f>Fluxo_de_Caixa_Janeiro345911710121516[[#This Row],[NOVEMBRO]]</f>
        <v>0</v>
      </c>
      <c r="N117" s="119">
        <f>Fluxo_de_Caixa_Janeiro34591171012151619[[#This Row],[DEZEMBRO]]</f>
        <v>0</v>
      </c>
      <c r="O117" s="224">
        <f>SUM(Fluxo_de_Caixa_Janeiro31020817[[#This Row],[Janeiro]:[Dezembro]])</f>
        <v>0</v>
      </c>
      <c r="P117" s="194" t="str">
        <f t="shared" si="6"/>
        <v>0,00%</v>
      </c>
      <c r="Q117" s="75"/>
      <c r="R117" s="32" t="str">
        <f>IF(Fluxo_de_Caixa_Janeiro31020817[[#This Row],[% ACUMULADO  2º SEMEST 2025]]&lt;=Fluxo_de_Caixa_Janeiro31020817[[#This Row],[Coluna1]],"VERDADEIRO","FALSO")</f>
        <v>FALSO</v>
      </c>
    </row>
    <row r="118" spans="2:18" x14ac:dyDescent="0.25">
      <c r="B118" s="55" t="str">
        <f>Fluxo_de_Caixa_Janeiro[[#This Row],[Fluxo de Caixa 2026 CTR]]</f>
        <v>3.2.18. ASO</v>
      </c>
      <c r="C118" s="35"/>
      <c r="D118" s="62"/>
      <c r="E118" s="62"/>
      <c r="F118" s="62"/>
      <c r="G118" s="62"/>
      <c r="H118" s="62"/>
      <c r="I118" s="35">
        <f>Fluxo_de_Caixa_Janeiro3459117[[#This Row],[JULHO]]</f>
        <v>0</v>
      </c>
      <c r="J118" s="62">
        <f>Fluxo_de_Caixa_Janeiro345911710[[#This Row],[AGOSTO]]</f>
        <v>0</v>
      </c>
      <c r="K118" s="62">
        <f>Fluxo_de_Caixa_Janeiro34591171012[[#This Row],[SETEMBRO]]</f>
        <v>0</v>
      </c>
      <c r="L118" s="62">
        <f>Fluxo_de_Caixa_Janeiro3459117101215[[#This Row],[OUTUBRO]]</f>
        <v>0</v>
      </c>
      <c r="M118" s="62">
        <f>Fluxo_de_Caixa_Janeiro345911710121516[[#This Row],[NOVEMBRO]]</f>
        <v>0</v>
      </c>
      <c r="N118" s="119">
        <f>Fluxo_de_Caixa_Janeiro34591171012151619[[#This Row],[DEZEMBRO]]</f>
        <v>0</v>
      </c>
      <c r="O118" s="224">
        <f>SUM(Fluxo_de_Caixa_Janeiro31020817[[#This Row],[Janeiro]:[Dezembro]])</f>
        <v>0</v>
      </c>
      <c r="P118" s="194" t="str">
        <f t="shared" si="6"/>
        <v>0,00%</v>
      </c>
      <c r="Q118" s="75"/>
      <c r="R118" s="32" t="str">
        <f>IF(Fluxo_de_Caixa_Janeiro31020817[[#This Row],[% ACUMULADO  2º SEMEST 2025]]&lt;=Fluxo_de_Caixa_Janeiro31020817[[#This Row],[Coluna1]],"VERDADEIRO","FALSO")</f>
        <v>FALSO</v>
      </c>
    </row>
    <row r="119" spans="2:18" x14ac:dyDescent="0.25">
      <c r="B119" s="55" t="str">
        <f>Fluxo_de_Caixa_Janeiro[[#This Row],[Fluxo de Caixa 2026 CTR]]</f>
        <v>3.2.19. IRRF S/ Salário</v>
      </c>
      <c r="C119" s="35"/>
      <c r="D119" s="62"/>
      <c r="E119" s="62"/>
      <c r="F119" s="62"/>
      <c r="G119" s="62"/>
      <c r="H119" s="62"/>
      <c r="I119" s="35">
        <f>Fluxo_de_Caixa_Janeiro3459117[[#This Row],[JULHO]]</f>
        <v>0</v>
      </c>
      <c r="J119" s="62">
        <f>Fluxo_de_Caixa_Janeiro345911710[[#This Row],[AGOSTO]]</f>
        <v>0</v>
      </c>
      <c r="K119" s="62">
        <f>Fluxo_de_Caixa_Janeiro34591171012[[#This Row],[SETEMBRO]]</f>
        <v>0</v>
      </c>
      <c r="L119" s="62">
        <f>Fluxo_de_Caixa_Janeiro3459117101215[[#This Row],[OUTUBRO]]</f>
        <v>0</v>
      </c>
      <c r="M119" s="62">
        <f>Fluxo_de_Caixa_Janeiro345911710121516[[#This Row],[NOVEMBRO]]</f>
        <v>0</v>
      </c>
      <c r="N119" s="119">
        <f>Fluxo_de_Caixa_Janeiro34591171012151619[[#This Row],[DEZEMBRO]]</f>
        <v>0</v>
      </c>
      <c r="O119" s="224">
        <f>SUM(Fluxo_de_Caixa_Janeiro31020817[[#This Row],[Janeiro]:[Dezembro]])</f>
        <v>0</v>
      </c>
      <c r="P119" s="194" t="str">
        <f t="shared" si="6"/>
        <v>0,00%</v>
      </c>
      <c r="Q119" s="75"/>
      <c r="R119" s="32" t="str">
        <f>IF(Fluxo_de_Caixa_Janeiro31020817[[#This Row],[% ACUMULADO  2º SEMEST 2025]]&lt;=Fluxo_de_Caixa_Janeiro31020817[[#This Row],[Coluna1]],"VERDADEIRO","FALSO")</f>
        <v>FALSO</v>
      </c>
    </row>
    <row r="120" spans="2:18" x14ac:dyDescent="0.25">
      <c r="B120" s="55" t="str">
        <f>Fluxo_de_Caixa_Janeiro[[#This Row],[Fluxo de Caixa 2026 CTR]]</f>
        <v>3.2.20. Despesa com Terceirizado</v>
      </c>
      <c r="C120" s="35"/>
      <c r="D120" s="62"/>
      <c r="E120" s="62"/>
      <c r="F120" s="62"/>
      <c r="G120" s="62"/>
      <c r="H120" s="62"/>
      <c r="I120" s="35">
        <f>Fluxo_de_Caixa_Janeiro3459117[[#This Row],[JULHO]]</f>
        <v>0</v>
      </c>
      <c r="J120" s="62">
        <f>Fluxo_de_Caixa_Janeiro345911710[[#This Row],[AGOSTO]]</f>
        <v>0</v>
      </c>
      <c r="K120" s="62">
        <f>Fluxo_de_Caixa_Janeiro34591171012[[#This Row],[SETEMBRO]]</f>
        <v>0</v>
      </c>
      <c r="L120" s="62">
        <f>Fluxo_de_Caixa_Janeiro3459117101215[[#This Row],[OUTUBRO]]</f>
        <v>0</v>
      </c>
      <c r="M120" s="62">
        <f>Fluxo_de_Caixa_Janeiro345911710121516[[#This Row],[NOVEMBRO]]</f>
        <v>0</v>
      </c>
      <c r="N120" s="119">
        <f>Fluxo_de_Caixa_Janeiro34591171012151619[[#This Row],[DEZEMBRO]]</f>
        <v>0</v>
      </c>
      <c r="O120" s="224">
        <f>SUM(Fluxo_de_Caixa_Janeiro31020817[[#This Row],[Janeiro]:[Dezembro]])</f>
        <v>0</v>
      </c>
      <c r="P120" s="194" t="str">
        <f t="shared" si="6"/>
        <v>0,00%</v>
      </c>
      <c r="Q120" s="75"/>
      <c r="R120" s="32" t="str">
        <f>IF(Fluxo_de_Caixa_Janeiro31020817[[#This Row],[% ACUMULADO  2º SEMEST 2025]]&lt;=Fluxo_de_Caixa_Janeiro31020817[[#This Row],[Coluna1]],"VERDADEIRO","FALSO")</f>
        <v>FALSO</v>
      </c>
    </row>
    <row r="121" spans="2:18" x14ac:dyDescent="0.25">
      <c r="B121" s="55" t="str">
        <f>Fluxo_de_Caixa_Janeiro[[#This Row],[Fluxo de Caixa 2026 CTR]]</f>
        <v>3.2.21. Uniformes e EPI</v>
      </c>
      <c r="C121" s="35"/>
      <c r="D121" s="62"/>
      <c r="E121" s="62"/>
      <c r="F121" s="62"/>
      <c r="G121" s="62"/>
      <c r="H121" s="62"/>
      <c r="I121" s="35">
        <f>Fluxo_de_Caixa_Janeiro3459117[[#This Row],[JULHO]]</f>
        <v>0</v>
      </c>
      <c r="J121" s="62">
        <f>Fluxo_de_Caixa_Janeiro345911710[[#This Row],[AGOSTO]]</f>
        <v>0</v>
      </c>
      <c r="K121" s="62">
        <f>Fluxo_de_Caixa_Janeiro34591171012[[#This Row],[SETEMBRO]]</f>
        <v>0</v>
      </c>
      <c r="L121" s="62">
        <f>Fluxo_de_Caixa_Janeiro3459117101215[[#This Row],[OUTUBRO]]</f>
        <v>0</v>
      </c>
      <c r="M121" s="62">
        <f>Fluxo_de_Caixa_Janeiro345911710121516[[#This Row],[NOVEMBRO]]</f>
        <v>0</v>
      </c>
      <c r="N121" s="119">
        <f>Fluxo_de_Caixa_Janeiro34591171012151619[[#This Row],[DEZEMBRO]]</f>
        <v>0</v>
      </c>
      <c r="O121" s="224">
        <f>SUM(Fluxo_de_Caixa_Janeiro31020817[[#This Row],[Janeiro]:[Dezembro]])</f>
        <v>0</v>
      </c>
      <c r="P121" s="194" t="str">
        <f t="shared" si="6"/>
        <v>0,00%</v>
      </c>
      <c r="Q121" s="75"/>
      <c r="R121" s="32" t="str">
        <f>IF(Fluxo_de_Caixa_Janeiro31020817[[#This Row],[% ACUMULADO  2º SEMEST 2025]]&lt;=Fluxo_de_Caixa_Janeiro31020817[[#This Row],[Coluna1]],"VERDADEIRO","FALSO")</f>
        <v>FALSO</v>
      </c>
    </row>
    <row r="122" spans="2:18" x14ac:dyDescent="0.25">
      <c r="B122" s="55" t="str">
        <f>Fluxo_de_Caixa_Janeiro[[#This Row],[Fluxo de Caixa 2026 CTR]]</f>
        <v>3.2.22. Adiantamento de 13º Salário</v>
      </c>
      <c r="C122" s="35"/>
      <c r="D122" s="62"/>
      <c r="E122" s="62"/>
      <c r="F122" s="62"/>
      <c r="G122" s="62"/>
      <c r="H122" s="62"/>
      <c r="I122" s="35">
        <f>Fluxo_de_Caixa_Janeiro3459117[[#This Row],[JULHO]]</f>
        <v>0</v>
      </c>
      <c r="J122" s="62">
        <f>Fluxo_de_Caixa_Janeiro345911710[[#This Row],[AGOSTO]]</f>
        <v>0</v>
      </c>
      <c r="K122" s="62">
        <f>Fluxo_de_Caixa_Janeiro34591171012[[#This Row],[SETEMBRO]]</f>
        <v>0</v>
      </c>
      <c r="L122" s="62">
        <f>Fluxo_de_Caixa_Janeiro3459117101215[[#This Row],[OUTUBRO]]</f>
        <v>0</v>
      </c>
      <c r="M122" s="62">
        <f>Fluxo_de_Caixa_Janeiro345911710121516[[#This Row],[NOVEMBRO]]</f>
        <v>0</v>
      </c>
      <c r="N122" s="119">
        <f>Fluxo_de_Caixa_Janeiro34591171012151619[[#This Row],[DEZEMBRO]]</f>
        <v>0</v>
      </c>
      <c r="O122" s="224">
        <f>SUM(Fluxo_de_Caixa_Janeiro31020817[[#This Row],[Janeiro]:[Dezembro]])</f>
        <v>0</v>
      </c>
      <c r="P122" s="194" t="str">
        <f t="shared" si="6"/>
        <v>0,00%</v>
      </c>
      <c r="Q122" s="75"/>
      <c r="R122" s="32" t="str">
        <f>IF(Fluxo_de_Caixa_Janeiro31020817[[#This Row],[% ACUMULADO  2º SEMEST 2025]]&lt;=Fluxo_de_Caixa_Janeiro31020817[[#This Row],[Coluna1]],"VERDADEIRO","FALSO")</f>
        <v>FALSO</v>
      </c>
    </row>
    <row r="123" spans="2:18" x14ac:dyDescent="0.25">
      <c r="B123" s="55" t="str">
        <f>Fluxo_de_Caixa_Janeiro[[#This Row],[Fluxo de Caixa 2026 CTR]]</f>
        <v>3.2.23. Decimo Terceiro Integral</v>
      </c>
      <c r="C123" s="35"/>
      <c r="D123" s="62"/>
      <c r="E123" s="62"/>
      <c r="F123" s="62"/>
      <c r="G123" s="62"/>
      <c r="H123" s="62"/>
      <c r="I123" s="35">
        <f>Fluxo_de_Caixa_Janeiro3459117[[#This Row],[JULHO]]</f>
        <v>0</v>
      </c>
      <c r="J123" s="62">
        <f>Fluxo_de_Caixa_Janeiro345911710[[#This Row],[AGOSTO]]</f>
        <v>0</v>
      </c>
      <c r="K123" s="62">
        <f>Fluxo_de_Caixa_Janeiro34591171012[[#This Row],[SETEMBRO]]</f>
        <v>0</v>
      </c>
      <c r="L123" s="62">
        <f>Fluxo_de_Caixa_Janeiro3459117101215[[#This Row],[OUTUBRO]]</f>
        <v>0</v>
      </c>
      <c r="M123" s="62">
        <f>Fluxo_de_Caixa_Janeiro345911710121516[[#This Row],[NOVEMBRO]]</f>
        <v>0</v>
      </c>
      <c r="N123" s="119">
        <f>Fluxo_de_Caixa_Janeiro34591171012151619[[#This Row],[DEZEMBRO]]</f>
        <v>0</v>
      </c>
      <c r="O123" s="224">
        <f>SUM(Fluxo_de_Caixa_Janeiro31020817[[#This Row],[Janeiro]:[Dezembro]])</f>
        <v>0</v>
      </c>
      <c r="P123" s="194" t="str">
        <f t="shared" si="6"/>
        <v>0,00%</v>
      </c>
      <c r="Q123" s="75"/>
      <c r="R123" s="32" t="str">
        <f>IF(Fluxo_de_Caixa_Janeiro31020817[[#This Row],[% ACUMULADO  2º SEMEST 2025]]&lt;=Fluxo_de_Caixa_Janeiro31020817[[#This Row],[Coluna1]],"VERDADEIRO","FALSO")</f>
        <v>FALSO</v>
      </c>
    </row>
    <row r="124" spans="2:18" x14ac:dyDescent="0.25">
      <c r="B124" s="378">
        <f>Fluxo_de_Caixa_Janeiro[[#This Row],[Fluxo de Caixa 2026 CTR]]</f>
        <v>0</v>
      </c>
      <c r="C124" s="357"/>
      <c r="D124" s="306"/>
      <c r="E124" s="306"/>
      <c r="F124" s="306"/>
      <c r="G124" s="306"/>
      <c r="H124" s="306"/>
      <c r="I124" s="357">
        <f>Fluxo_de_Caixa_Janeiro3459117[[#This Row],[JULHO]]</f>
        <v>0</v>
      </c>
      <c r="J124" s="306">
        <f>Fluxo_de_Caixa_Janeiro345911710[[#This Row],[AGOSTO]]</f>
        <v>0</v>
      </c>
      <c r="K124" s="306">
        <f>Fluxo_de_Caixa_Janeiro34591171012[[#This Row],[SETEMBRO]]</f>
        <v>0</v>
      </c>
      <c r="L124" s="306">
        <f>Fluxo_de_Caixa_Janeiro3459117101215[[#This Row],[OUTUBRO]]</f>
        <v>0</v>
      </c>
      <c r="M124" s="306">
        <f>Fluxo_de_Caixa_Janeiro345911710121516[[#This Row],[NOVEMBRO]]</f>
        <v>0</v>
      </c>
      <c r="N124" s="360">
        <f>Fluxo_de_Caixa_Janeiro34591171012151619[[#This Row],[DEZEMBRO]]</f>
        <v>0</v>
      </c>
      <c r="O124" s="396">
        <f>SUM(Fluxo_de_Caixa_Janeiro31020817[[#This Row],[Janeiro]:[Dezembro]])</f>
        <v>0</v>
      </c>
      <c r="P124" s="194" t="str">
        <f t="shared" si="6"/>
        <v>0,00%</v>
      </c>
      <c r="Q124" s="75"/>
      <c r="R124" s="32"/>
    </row>
    <row r="125" spans="2:18" x14ac:dyDescent="0.25">
      <c r="B125" s="385">
        <f>Fluxo_de_Caixa_Janeiro[[#This Row],[Fluxo de Caixa 2026 CTR]]</f>
        <v>0</v>
      </c>
      <c r="C125" s="357"/>
      <c r="D125" s="306"/>
      <c r="E125" s="306"/>
      <c r="F125" s="306"/>
      <c r="G125" s="306"/>
      <c r="H125" s="306"/>
      <c r="I125" s="357">
        <f>Fluxo_de_Caixa_Janeiro3459117[[#This Row],[JULHO]]</f>
        <v>0</v>
      </c>
      <c r="J125" s="306">
        <f>Fluxo_de_Caixa_Janeiro345911710[[#This Row],[AGOSTO]]</f>
        <v>0</v>
      </c>
      <c r="K125" s="306">
        <f>Fluxo_de_Caixa_Janeiro34591171012[[#This Row],[SETEMBRO]]</f>
        <v>0</v>
      </c>
      <c r="L125" s="306">
        <f>Fluxo_de_Caixa_Janeiro3459117101215[[#This Row],[OUTUBRO]]</f>
        <v>0</v>
      </c>
      <c r="M125" s="306">
        <f>Fluxo_de_Caixa_Janeiro345911710121516[[#This Row],[NOVEMBRO]]</f>
        <v>0</v>
      </c>
      <c r="N125" s="360">
        <f>Fluxo_de_Caixa_Janeiro34591171012151619[[#This Row],[DEZEMBRO]]</f>
        <v>0</v>
      </c>
      <c r="O125" s="396">
        <f>SUM(Fluxo_de_Caixa_Janeiro31020817[[#This Row],[Janeiro]:[Dezembro]])</f>
        <v>0</v>
      </c>
      <c r="P125" s="194" t="str">
        <f t="shared" si="6"/>
        <v>0,00%</v>
      </c>
      <c r="Q125" s="75"/>
      <c r="R125" s="32"/>
    </row>
    <row r="126" spans="2:18" x14ac:dyDescent="0.25">
      <c r="B126" s="378">
        <f>Fluxo_de_Caixa_Janeiro[[#This Row],[Fluxo de Caixa 2026 CTR]]</f>
        <v>0</v>
      </c>
      <c r="C126" s="358"/>
      <c r="D126" s="359"/>
      <c r="E126" s="359"/>
      <c r="F126" s="359"/>
      <c r="G126" s="359"/>
      <c r="H126" s="359"/>
      <c r="I126" s="358">
        <f>Fluxo_de_Caixa_Janeiro3459117[[#This Row],[JULHO]]</f>
        <v>0</v>
      </c>
      <c r="J126" s="359">
        <f>Fluxo_de_Caixa_Janeiro345911710[[#This Row],[AGOSTO]]</f>
        <v>0</v>
      </c>
      <c r="K126" s="359">
        <f>Fluxo_de_Caixa_Janeiro34591171012[[#This Row],[SETEMBRO]]</f>
        <v>0</v>
      </c>
      <c r="L126" s="359">
        <f>Fluxo_de_Caixa_Janeiro3459117101215[[#This Row],[OUTUBRO]]</f>
        <v>0</v>
      </c>
      <c r="M126" s="359">
        <f>Fluxo_de_Caixa_Janeiro345911710121516[[#This Row],[NOVEMBRO]]</f>
        <v>0</v>
      </c>
      <c r="N126" s="361">
        <f>Fluxo_de_Caixa_Janeiro34591171012151619[[#This Row],[DEZEMBRO]]</f>
        <v>0</v>
      </c>
      <c r="O126" s="396">
        <f>SUM(Fluxo_de_Caixa_Janeiro31020817[[#This Row],[Janeiro]:[Dezembro]])</f>
        <v>0</v>
      </c>
      <c r="P126" s="194" t="str">
        <f t="shared" si="6"/>
        <v>0,00%</v>
      </c>
      <c r="Q126" s="75"/>
      <c r="R126" s="32"/>
    </row>
    <row r="127" spans="2:18" x14ac:dyDescent="0.25">
      <c r="B127" s="385">
        <f>Fluxo_de_Caixa_Janeiro[[#This Row],[Fluxo de Caixa 2026 CTR]]</f>
        <v>0</v>
      </c>
      <c r="C127" s="358"/>
      <c r="D127" s="359"/>
      <c r="E127" s="359"/>
      <c r="F127" s="359"/>
      <c r="G127" s="359"/>
      <c r="H127" s="359"/>
      <c r="I127" s="358">
        <f>Fluxo_de_Caixa_Janeiro3459117[[#This Row],[JULHO]]</f>
        <v>0</v>
      </c>
      <c r="J127" s="359">
        <f>Fluxo_de_Caixa_Janeiro345911710[[#This Row],[AGOSTO]]</f>
        <v>0</v>
      </c>
      <c r="K127" s="359">
        <f>Fluxo_de_Caixa_Janeiro34591171012[[#This Row],[SETEMBRO]]</f>
        <v>0</v>
      </c>
      <c r="L127" s="359">
        <f>Fluxo_de_Caixa_Janeiro3459117101215[[#This Row],[OUTUBRO]]</f>
        <v>0</v>
      </c>
      <c r="M127" s="359">
        <f>Fluxo_de_Caixa_Janeiro345911710121516[[#This Row],[NOVEMBRO]]</f>
        <v>0</v>
      </c>
      <c r="N127" s="361">
        <f>Fluxo_de_Caixa_Janeiro34591171012151619[[#This Row],[DEZEMBRO]]</f>
        <v>0</v>
      </c>
      <c r="O127" s="396">
        <f>SUM(Fluxo_de_Caixa_Janeiro31020817[[#This Row],[Janeiro]:[Dezembro]])</f>
        <v>0</v>
      </c>
      <c r="P127" s="194" t="str">
        <f t="shared" si="6"/>
        <v>0,00%</v>
      </c>
      <c r="Q127" s="75"/>
      <c r="R127" s="32"/>
    </row>
    <row r="128" spans="2:18" x14ac:dyDescent="0.25">
      <c r="B128" s="55">
        <f>Fluxo_de_Caixa_Janeiro[[#This Row],[Fluxo de Caixa 2026 CTR]]</f>
        <v>0</v>
      </c>
      <c r="C128" s="35"/>
      <c r="D128" s="62"/>
      <c r="E128" s="62"/>
      <c r="F128" s="62"/>
      <c r="G128" s="62"/>
      <c r="H128" s="62"/>
      <c r="I128" s="35">
        <f>Fluxo_de_Caixa_Janeiro3459117[[#This Row],[JULHO]]</f>
        <v>0</v>
      </c>
      <c r="J128" s="62">
        <f>Fluxo_de_Caixa_Janeiro345911710[[#This Row],[AGOSTO]]</f>
        <v>0</v>
      </c>
      <c r="K128" s="62">
        <f>Fluxo_de_Caixa_Janeiro34591171012[[#This Row],[SETEMBRO]]</f>
        <v>0</v>
      </c>
      <c r="L128" s="62">
        <f>Fluxo_de_Caixa_Janeiro3459117101215[[#This Row],[OUTUBRO]]</f>
        <v>0</v>
      </c>
      <c r="M128" s="62">
        <f>Fluxo_de_Caixa_Janeiro345911710121516[[#This Row],[NOVEMBRO]]</f>
        <v>0</v>
      </c>
      <c r="N128" s="119">
        <f>Fluxo_de_Caixa_Janeiro34591171012151619[[#This Row],[DEZEMBRO]]</f>
        <v>0</v>
      </c>
      <c r="O128" s="224">
        <f>SUM(Fluxo_de_Caixa_Janeiro31020817[[#This Row],[Janeiro]:[Dezembro]])</f>
        <v>0</v>
      </c>
      <c r="P128" s="194" t="str">
        <f t="shared" si="6"/>
        <v>0,00%</v>
      </c>
      <c r="Q128" s="75"/>
      <c r="R128" s="32" t="str">
        <f>IF(Fluxo_de_Caixa_Janeiro31020817[[#This Row],[% ACUMULADO  2º SEMEST 2025]]&lt;=Fluxo_de_Caixa_Janeiro31020817[[#This Row],[Coluna1]],"VERDADEIRO","FALSO")</f>
        <v>FALSO</v>
      </c>
    </row>
    <row r="129" spans="1:18" x14ac:dyDescent="0.25">
      <c r="B129" s="55">
        <f>Fluxo_de_Caixa_Janeiro[[#This Row],[Fluxo de Caixa 2026 CTR]]</f>
        <v>0</v>
      </c>
      <c r="C129" s="35"/>
      <c r="D129" s="62"/>
      <c r="E129" s="62"/>
      <c r="F129" s="62"/>
      <c r="G129" s="62"/>
      <c r="H129" s="62"/>
      <c r="I129" s="35">
        <f>Fluxo_de_Caixa_Janeiro3459117[[#This Row],[JULHO]]</f>
        <v>0</v>
      </c>
      <c r="J129" s="62">
        <f>Fluxo_de_Caixa_Janeiro345911710[[#This Row],[AGOSTO]]</f>
        <v>0</v>
      </c>
      <c r="K129" s="62">
        <f>Fluxo_de_Caixa_Janeiro34591171012[[#This Row],[SETEMBRO]]</f>
        <v>0</v>
      </c>
      <c r="L129" s="62">
        <f>Fluxo_de_Caixa_Janeiro3459117101215[[#This Row],[OUTUBRO]]</f>
        <v>0</v>
      </c>
      <c r="M129" s="62">
        <f>Fluxo_de_Caixa_Janeiro345911710121516[[#This Row],[NOVEMBRO]]</f>
        <v>0</v>
      </c>
      <c r="N129" s="119">
        <f>Fluxo_de_Caixa_Janeiro34591171012151619[[#This Row],[DEZEMBRO]]</f>
        <v>0</v>
      </c>
      <c r="O129" s="224">
        <f>SUM(Fluxo_de_Caixa_Janeiro31020817[[#This Row],[Janeiro]:[Dezembro]])</f>
        <v>0</v>
      </c>
      <c r="P129" s="194" t="str">
        <f t="shared" si="6"/>
        <v>0,00%</v>
      </c>
      <c r="Q129" s="75"/>
      <c r="R129" s="32" t="str">
        <f>IF(Fluxo_de_Caixa_Janeiro31020817[[#This Row],[% ACUMULADO  2º SEMEST 2025]]&lt;=Fluxo_de_Caixa_Janeiro31020817[[#This Row],[Coluna1]],"VERDADEIRO","FALSO")</f>
        <v>FALSO</v>
      </c>
    </row>
    <row r="130" spans="1:18" ht="15.75" thickBot="1" x14ac:dyDescent="0.3">
      <c r="B130" s="276">
        <f>Fluxo_de_Caixa_Janeiro[[#This Row],[Fluxo de Caixa 2026 CTR]]</f>
        <v>0</v>
      </c>
      <c r="C130" s="36"/>
      <c r="D130" s="82"/>
      <c r="E130" s="82"/>
      <c r="F130" s="82"/>
      <c r="G130" s="82"/>
      <c r="H130" s="82"/>
      <c r="I130" s="36">
        <f>Fluxo_de_Caixa_Janeiro3459117[[#This Row],[JULHO]]</f>
        <v>0</v>
      </c>
      <c r="J130" s="82">
        <f>Fluxo_de_Caixa_Janeiro345911710[[#This Row],[AGOSTO]]</f>
        <v>0</v>
      </c>
      <c r="K130" s="82">
        <f>Fluxo_de_Caixa_Janeiro34591171012[[#This Row],[SETEMBRO]]</f>
        <v>0</v>
      </c>
      <c r="L130" s="82">
        <f>Fluxo_de_Caixa_Janeiro3459117101215[[#This Row],[OUTUBRO]]</f>
        <v>0</v>
      </c>
      <c r="M130" s="82">
        <f>Fluxo_de_Caixa_Janeiro345911710121516[[#This Row],[NOVEMBRO]]</f>
        <v>0</v>
      </c>
      <c r="N130" s="120">
        <f>Fluxo_de_Caixa_Janeiro34591171012151619[[#This Row],[DEZEMBRO]]</f>
        <v>0</v>
      </c>
      <c r="O130" s="225">
        <f>SUM(Fluxo_de_Caixa_Janeiro31020817[[#This Row],[Janeiro]:[Dezembro]])</f>
        <v>0</v>
      </c>
      <c r="P130" s="195" t="str">
        <f t="shared" si="6"/>
        <v>0,00%</v>
      </c>
      <c r="Q130" s="96"/>
      <c r="R130" s="32" t="str">
        <f>IF(Fluxo_de_Caixa_Janeiro31020817[[#This Row],[% ACUMULADO  2º SEMEST 2025]]&lt;=Fluxo_de_Caixa_Janeiro31020817[[#This Row],[Coluna1]],"VERDADEIRO","FALSO")</f>
        <v>FALSO</v>
      </c>
    </row>
    <row r="131" spans="1:18" ht="19.5" thickBot="1" x14ac:dyDescent="0.35">
      <c r="A131" s="16" t="s">
        <v>5</v>
      </c>
      <c r="B131" s="277" t="str">
        <f>Fluxo_de_Caixa_Janeiro[[#This Row],[Fluxo de Caixa 2026 CTR]]</f>
        <v>3.3. DESPESAS INFORMATICA</v>
      </c>
      <c r="C131" s="158"/>
      <c r="D131" s="97"/>
      <c r="E131" s="97"/>
      <c r="F131" s="97"/>
      <c r="G131" s="97"/>
      <c r="H131" s="97"/>
      <c r="I131" s="158">
        <f>Fluxo_de_Caixa_Janeiro3459117[[#This Row],[JULHO]]</f>
        <v>0</v>
      </c>
      <c r="J131" s="97">
        <f>Fluxo_de_Caixa_Janeiro345911710[[#This Row],[AGOSTO]]</f>
        <v>0</v>
      </c>
      <c r="K131" s="97">
        <f>Fluxo_de_Caixa_Janeiro34591171012[[#This Row],[SETEMBRO]]</f>
        <v>0</v>
      </c>
      <c r="L131" s="97">
        <f>Fluxo_de_Caixa_Janeiro3459117101215[[#This Row],[OUTUBRO]]</f>
        <v>0</v>
      </c>
      <c r="M131" s="97">
        <f>Fluxo_de_Caixa_Janeiro345911710121516[[#This Row],[NOVEMBRO]]</f>
        <v>0</v>
      </c>
      <c r="N131" s="129">
        <f>Fluxo_de_Caixa_Janeiro34591171012151619[[#This Row],[DEZEMBRO]]</f>
        <v>0</v>
      </c>
      <c r="O131" s="226">
        <f>SUM(Fluxo_de_Caixa_Janeiro31020817[[#This Row],[Janeiro]:[Dezembro]])</f>
        <v>0</v>
      </c>
      <c r="P131" s="144">
        <f>-IFERROR(O131/$O$27,"0,00")</f>
        <v>0</v>
      </c>
      <c r="Q131" s="98"/>
      <c r="R131" s="32" t="str">
        <f>IF(Fluxo_de_Caixa_Janeiro31020817[[#This Row],[% ACUMULADO  2º SEMEST 2025]]&lt;=Fluxo_de_Caixa_Janeiro31020817[[#This Row],[Coluna1]],"VERDADEIRO","FALSO")</f>
        <v>VERDADEIRO</v>
      </c>
    </row>
    <row r="132" spans="1:18" x14ac:dyDescent="0.25">
      <c r="B132" s="169" t="str">
        <f>Fluxo_de_Caixa_Janeiro[[#This Row],[Fluxo de Caixa 2026 CTR]]</f>
        <v>3.3.01. Aquisição Equipamento Informa. Não Imobilizavel</v>
      </c>
      <c r="C132" s="41"/>
      <c r="D132" s="81"/>
      <c r="E132" s="81"/>
      <c r="F132" s="81"/>
      <c r="G132" s="81"/>
      <c r="H132" s="81"/>
      <c r="I132" s="41">
        <f>Fluxo_de_Caixa_Janeiro3459117[[#This Row],[JULHO]]</f>
        <v>0</v>
      </c>
      <c r="J132" s="81">
        <f>Fluxo_de_Caixa_Janeiro345911710[[#This Row],[AGOSTO]]</f>
        <v>0</v>
      </c>
      <c r="K132" s="81">
        <f>Fluxo_de_Caixa_Janeiro34591171012[[#This Row],[SETEMBRO]]</f>
        <v>0</v>
      </c>
      <c r="L132" s="81">
        <f>Fluxo_de_Caixa_Janeiro3459117101215[[#This Row],[OUTUBRO]]</f>
        <v>0</v>
      </c>
      <c r="M132" s="81">
        <f>Fluxo_de_Caixa_Janeiro345911710121516[[#This Row],[NOVEMBRO]]</f>
        <v>0</v>
      </c>
      <c r="N132" s="118">
        <f>Fluxo_de_Caixa_Janeiro34591171012151619[[#This Row],[DEZEMBRO]]</f>
        <v>0</v>
      </c>
      <c r="O132" s="223">
        <f>SUM(Fluxo_de_Caixa_Janeiro31020817[[#This Row],[Janeiro]:[Dezembro]])</f>
        <v>0</v>
      </c>
      <c r="P132" s="193" t="str">
        <f t="shared" ref="P132:P144" si="7">IFERROR(O132/$O$27,"0,00%")</f>
        <v>0,00%</v>
      </c>
      <c r="Q132" s="93"/>
      <c r="R132" s="32" t="str">
        <f>IF(Fluxo_de_Caixa_Janeiro31020817[[#This Row],[% ACUMULADO  2º SEMEST 2025]]&lt;=Fluxo_de_Caixa_Janeiro31020817[[#This Row],[Coluna1]],"VERDADEIRO","FALSO")</f>
        <v>FALSO</v>
      </c>
    </row>
    <row r="133" spans="1:18" x14ac:dyDescent="0.25">
      <c r="B133" s="55">
        <f>Fluxo_de_Caixa_Janeiro[[#This Row],[Fluxo de Caixa 2026 CTR]]</f>
        <v>0</v>
      </c>
      <c r="C133" s="35"/>
      <c r="D133" s="62"/>
      <c r="E133" s="62"/>
      <c r="F133" s="62"/>
      <c r="G133" s="62"/>
      <c r="H133" s="62"/>
      <c r="I133" s="35">
        <f>Fluxo_de_Caixa_Janeiro3459117[[#This Row],[JULHO]]</f>
        <v>0</v>
      </c>
      <c r="J133" s="62">
        <f>Fluxo_de_Caixa_Janeiro345911710[[#This Row],[AGOSTO]]</f>
        <v>0</v>
      </c>
      <c r="K133" s="62">
        <f>Fluxo_de_Caixa_Janeiro34591171012[[#This Row],[SETEMBRO]]</f>
        <v>0</v>
      </c>
      <c r="L133" s="62">
        <f>Fluxo_de_Caixa_Janeiro3459117101215[[#This Row],[OUTUBRO]]</f>
        <v>0</v>
      </c>
      <c r="M133" s="62">
        <f>Fluxo_de_Caixa_Janeiro345911710121516[[#This Row],[NOVEMBRO]]</f>
        <v>0</v>
      </c>
      <c r="N133" s="119">
        <f>Fluxo_de_Caixa_Janeiro34591171012151619[[#This Row],[DEZEMBRO]]</f>
        <v>0</v>
      </c>
      <c r="O133" s="224">
        <f>SUM(Fluxo_de_Caixa_Janeiro31020817[[#This Row],[Janeiro]:[Dezembro]])</f>
        <v>0</v>
      </c>
      <c r="P133" s="194" t="str">
        <f t="shared" si="7"/>
        <v>0,00%</v>
      </c>
      <c r="Q133" s="75"/>
      <c r="R133" s="32" t="str">
        <f>IF(Fluxo_de_Caixa_Janeiro31020817[[#This Row],[% ACUMULADO  2º SEMEST 2025]]&lt;=Fluxo_de_Caixa_Janeiro31020817[[#This Row],[Coluna1]],"VERDADEIRO","FALSO")</f>
        <v>FALSO</v>
      </c>
    </row>
    <row r="134" spans="1:18" x14ac:dyDescent="0.25">
      <c r="B134" s="55" t="str">
        <f>Fluxo_de_Caixa_Janeiro[[#This Row],[Fluxo de Caixa 2026 CTR]]</f>
        <v>3.3.03. Consultoria de TI</v>
      </c>
      <c r="C134" s="35"/>
      <c r="D134" s="62"/>
      <c r="E134" s="62"/>
      <c r="F134" s="62"/>
      <c r="G134" s="62"/>
      <c r="H134" s="62"/>
      <c r="I134" s="35">
        <f>Fluxo_de_Caixa_Janeiro3459117[[#This Row],[JULHO]]</f>
        <v>0</v>
      </c>
      <c r="J134" s="62">
        <f>Fluxo_de_Caixa_Janeiro345911710[[#This Row],[AGOSTO]]</f>
        <v>0</v>
      </c>
      <c r="K134" s="62">
        <f>Fluxo_de_Caixa_Janeiro34591171012[[#This Row],[SETEMBRO]]</f>
        <v>0</v>
      </c>
      <c r="L134" s="62">
        <f>Fluxo_de_Caixa_Janeiro3459117101215[[#This Row],[OUTUBRO]]</f>
        <v>0</v>
      </c>
      <c r="M134" s="62">
        <f>Fluxo_de_Caixa_Janeiro345911710121516[[#This Row],[NOVEMBRO]]</f>
        <v>0</v>
      </c>
      <c r="N134" s="119">
        <f>Fluxo_de_Caixa_Janeiro34591171012151619[[#This Row],[DEZEMBRO]]</f>
        <v>0</v>
      </c>
      <c r="O134" s="224">
        <f>SUM(Fluxo_de_Caixa_Janeiro31020817[[#This Row],[Janeiro]:[Dezembro]])</f>
        <v>0</v>
      </c>
      <c r="P134" s="194" t="str">
        <f t="shared" si="7"/>
        <v>0,00%</v>
      </c>
      <c r="Q134" s="75"/>
      <c r="R134" s="32" t="str">
        <f>IF(Fluxo_de_Caixa_Janeiro31020817[[#This Row],[% ACUMULADO  2º SEMEST 2025]]&lt;=Fluxo_de_Caixa_Janeiro31020817[[#This Row],[Coluna1]],"VERDADEIRO","FALSO")</f>
        <v>FALSO</v>
      </c>
    </row>
    <row r="135" spans="1:18" x14ac:dyDescent="0.25">
      <c r="B135" s="55" t="str">
        <f>Fluxo_de_Caixa_Janeiro[[#This Row],[Fluxo de Caixa 2026 CTR]]</f>
        <v>3.3.04. Mensalidade Programa de Tecnologia Informatica</v>
      </c>
      <c r="C135" s="35"/>
      <c r="D135" s="62"/>
      <c r="E135" s="62"/>
      <c r="F135" s="62"/>
      <c r="G135" s="62"/>
      <c r="H135" s="62"/>
      <c r="I135" s="35">
        <f>Fluxo_de_Caixa_Janeiro3459117[[#This Row],[JULHO]]</f>
        <v>0</v>
      </c>
      <c r="J135" s="62">
        <f>Fluxo_de_Caixa_Janeiro345911710[[#This Row],[AGOSTO]]</f>
        <v>0</v>
      </c>
      <c r="K135" s="62">
        <f>Fluxo_de_Caixa_Janeiro34591171012[[#This Row],[SETEMBRO]]</f>
        <v>0</v>
      </c>
      <c r="L135" s="62">
        <f>Fluxo_de_Caixa_Janeiro3459117101215[[#This Row],[OUTUBRO]]</f>
        <v>0</v>
      </c>
      <c r="M135" s="62">
        <f>Fluxo_de_Caixa_Janeiro345911710121516[[#This Row],[NOVEMBRO]]</f>
        <v>0</v>
      </c>
      <c r="N135" s="119">
        <f>Fluxo_de_Caixa_Janeiro34591171012151619[[#This Row],[DEZEMBRO]]</f>
        <v>0</v>
      </c>
      <c r="O135" s="224">
        <f>SUM(Fluxo_de_Caixa_Janeiro31020817[[#This Row],[Janeiro]:[Dezembro]])</f>
        <v>0</v>
      </c>
      <c r="P135" s="194" t="str">
        <f t="shared" si="7"/>
        <v>0,00%</v>
      </c>
      <c r="Q135" s="75"/>
      <c r="R135" s="32" t="str">
        <f>IF(Fluxo_de_Caixa_Janeiro31020817[[#This Row],[% ACUMULADO  2º SEMEST 2025]]&lt;=Fluxo_de_Caixa_Janeiro31020817[[#This Row],[Coluna1]],"VERDADEIRO","FALSO")</f>
        <v>FALSO</v>
      </c>
    </row>
    <row r="136" spans="1:18" x14ac:dyDescent="0.25">
      <c r="B136" s="55" t="str">
        <f>Fluxo_de_Caixa_Janeiro[[#This Row],[Fluxo de Caixa 2026 CTR]]</f>
        <v>3.3.05. MANUT E REPAROS EM EQUIPAME. INFORMATI</v>
      </c>
      <c r="C136" s="35"/>
      <c r="D136" s="62"/>
      <c r="E136" s="62"/>
      <c r="F136" s="62"/>
      <c r="G136" s="62"/>
      <c r="H136" s="62"/>
      <c r="I136" s="35">
        <f>Fluxo_de_Caixa_Janeiro3459117[[#This Row],[JULHO]]</f>
        <v>0</v>
      </c>
      <c r="J136" s="62">
        <f>Fluxo_de_Caixa_Janeiro345911710[[#This Row],[AGOSTO]]</f>
        <v>0</v>
      </c>
      <c r="K136" s="62">
        <f>Fluxo_de_Caixa_Janeiro34591171012[[#This Row],[SETEMBRO]]</f>
        <v>0</v>
      </c>
      <c r="L136" s="62">
        <f>Fluxo_de_Caixa_Janeiro3459117101215[[#This Row],[OUTUBRO]]</f>
        <v>0</v>
      </c>
      <c r="M136" s="62">
        <f>Fluxo_de_Caixa_Janeiro345911710121516[[#This Row],[NOVEMBRO]]</f>
        <v>0</v>
      </c>
      <c r="N136" s="119">
        <f>Fluxo_de_Caixa_Janeiro34591171012151619[[#This Row],[DEZEMBRO]]</f>
        <v>0</v>
      </c>
      <c r="O136" s="224">
        <f>SUM(Fluxo_de_Caixa_Janeiro31020817[[#This Row],[Janeiro]:[Dezembro]])</f>
        <v>0</v>
      </c>
      <c r="P136" s="194" t="str">
        <f t="shared" si="7"/>
        <v>0,00%</v>
      </c>
      <c r="Q136" s="75"/>
      <c r="R136" s="32" t="str">
        <f>IF(Fluxo_de_Caixa_Janeiro31020817[[#This Row],[% ACUMULADO  2º SEMEST 2025]]&lt;=Fluxo_de_Caixa_Janeiro31020817[[#This Row],[Coluna1]],"VERDADEIRO","FALSO")</f>
        <v>FALSO</v>
      </c>
    </row>
    <row r="137" spans="1:18" x14ac:dyDescent="0.25">
      <c r="B137" s="55" t="str">
        <f>Fluxo_de_Caixa_Janeiro[[#This Row],[Fluxo de Caixa 2026 CTR]]</f>
        <v>3.3.06. Manutenção Sitemas e Softwares</v>
      </c>
      <c r="C137" s="35"/>
      <c r="D137" s="62"/>
      <c r="E137" s="62"/>
      <c r="F137" s="62"/>
      <c r="G137" s="62"/>
      <c r="H137" s="62"/>
      <c r="I137" s="35">
        <f>Fluxo_de_Caixa_Janeiro3459117[[#This Row],[JULHO]]</f>
        <v>0</v>
      </c>
      <c r="J137" s="62">
        <f>Fluxo_de_Caixa_Janeiro345911710[[#This Row],[AGOSTO]]</f>
        <v>0</v>
      </c>
      <c r="K137" s="62">
        <f>Fluxo_de_Caixa_Janeiro34591171012[[#This Row],[SETEMBRO]]</f>
        <v>0</v>
      </c>
      <c r="L137" s="62">
        <f>Fluxo_de_Caixa_Janeiro3459117101215[[#This Row],[OUTUBRO]]</f>
        <v>0</v>
      </c>
      <c r="M137" s="62">
        <f>Fluxo_de_Caixa_Janeiro345911710121516[[#This Row],[NOVEMBRO]]</f>
        <v>0</v>
      </c>
      <c r="N137" s="119">
        <f>Fluxo_de_Caixa_Janeiro34591171012151619[[#This Row],[DEZEMBRO]]</f>
        <v>0</v>
      </c>
      <c r="O137" s="224">
        <f>SUM(Fluxo_de_Caixa_Janeiro31020817[[#This Row],[Janeiro]:[Dezembro]])</f>
        <v>0</v>
      </c>
      <c r="P137" s="194" t="str">
        <f t="shared" si="7"/>
        <v>0,00%</v>
      </c>
      <c r="Q137" s="75"/>
      <c r="R137" s="32" t="str">
        <f>IF(Fluxo_de_Caixa_Janeiro31020817[[#This Row],[% ACUMULADO  2º SEMEST 2025]]&lt;=Fluxo_de_Caixa_Janeiro31020817[[#This Row],[Coluna1]],"VERDADEIRO","FALSO")</f>
        <v>FALSO</v>
      </c>
    </row>
    <row r="138" spans="1:18" x14ac:dyDescent="0.25">
      <c r="B138" s="55" t="str">
        <f>Fluxo_de_Caixa_Janeiro[[#This Row],[Fluxo de Caixa 2026 CTR]]</f>
        <v>3.3.07. Locação Equipamento Informatica</v>
      </c>
      <c r="C138" s="35"/>
      <c r="D138" s="62"/>
      <c r="E138" s="62"/>
      <c r="F138" s="62"/>
      <c r="G138" s="62"/>
      <c r="H138" s="62"/>
      <c r="I138" s="35">
        <f>Fluxo_de_Caixa_Janeiro3459117[[#This Row],[JULHO]]</f>
        <v>0</v>
      </c>
      <c r="J138" s="62">
        <f>Fluxo_de_Caixa_Janeiro345911710[[#This Row],[AGOSTO]]</f>
        <v>0</v>
      </c>
      <c r="K138" s="62">
        <f>Fluxo_de_Caixa_Janeiro34591171012[[#This Row],[SETEMBRO]]</f>
        <v>0</v>
      </c>
      <c r="L138" s="62">
        <f>Fluxo_de_Caixa_Janeiro3459117101215[[#This Row],[OUTUBRO]]</f>
        <v>0</v>
      </c>
      <c r="M138" s="62">
        <f>Fluxo_de_Caixa_Janeiro345911710121516[[#This Row],[NOVEMBRO]]</f>
        <v>0</v>
      </c>
      <c r="N138" s="119">
        <f>Fluxo_de_Caixa_Janeiro34591171012151619[[#This Row],[DEZEMBRO]]</f>
        <v>0</v>
      </c>
      <c r="O138" s="224">
        <f>SUM(Fluxo_de_Caixa_Janeiro31020817[[#This Row],[Janeiro]:[Dezembro]])</f>
        <v>0</v>
      </c>
      <c r="P138" s="194" t="str">
        <f t="shared" si="7"/>
        <v>0,00%</v>
      </c>
      <c r="Q138" s="75"/>
      <c r="R138" s="32" t="str">
        <f>IF(Fluxo_de_Caixa_Janeiro31020817[[#This Row],[% ACUMULADO  2º SEMEST 2025]]&lt;=Fluxo_de_Caixa_Janeiro31020817[[#This Row],[Coluna1]],"VERDADEIRO","FALSO")</f>
        <v>FALSO</v>
      </c>
    </row>
    <row r="139" spans="1:18" x14ac:dyDescent="0.25">
      <c r="B139" s="55" t="str">
        <f>Fluxo_de_Caixa_Janeiro[[#This Row],[Fluxo de Caixa 2026 CTR]]</f>
        <v>3.3.08. Transmissão de Dados Servidor</v>
      </c>
      <c r="C139" s="35"/>
      <c r="D139" s="62"/>
      <c r="E139" s="62"/>
      <c r="F139" s="62"/>
      <c r="G139" s="62"/>
      <c r="H139" s="62"/>
      <c r="I139" s="35">
        <f>Fluxo_de_Caixa_Janeiro3459117[[#This Row],[JULHO]]</f>
        <v>0</v>
      </c>
      <c r="J139" s="62">
        <f>Fluxo_de_Caixa_Janeiro345911710[[#This Row],[AGOSTO]]</f>
        <v>0</v>
      </c>
      <c r="K139" s="62">
        <f>Fluxo_de_Caixa_Janeiro34591171012[[#This Row],[SETEMBRO]]</f>
        <v>0</v>
      </c>
      <c r="L139" s="62">
        <f>Fluxo_de_Caixa_Janeiro3459117101215[[#This Row],[OUTUBRO]]</f>
        <v>0</v>
      </c>
      <c r="M139" s="62">
        <f>Fluxo_de_Caixa_Janeiro345911710121516[[#This Row],[NOVEMBRO]]</f>
        <v>0</v>
      </c>
      <c r="N139" s="119">
        <f>Fluxo_de_Caixa_Janeiro34591171012151619[[#This Row],[DEZEMBRO]]</f>
        <v>0</v>
      </c>
      <c r="O139" s="224">
        <f>SUM(Fluxo_de_Caixa_Janeiro31020817[[#This Row],[Janeiro]:[Dezembro]])</f>
        <v>0</v>
      </c>
      <c r="P139" s="194" t="str">
        <f t="shared" si="7"/>
        <v>0,00%</v>
      </c>
      <c r="Q139" s="75"/>
      <c r="R139" s="32" t="str">
        <f>IF(Fluxo_de_Caixa_Janeiro31020817[[#This Row],[% ACUMULADO  2º SEMEST 2025]]&lt;=Fluxo_de_Caixa_Janeiro31020817[[#This Row],[Coluna1]],"VERDADEIRO","FALSO")</f>
        <v>FALSO</v>
      </c>
    </row>
    <row r="140" spans="1:18" x14ac:dyDescent="0.25">
      <c r="B140" s="55" t="str">
        <f>Fluxo_de_Caixa_Janeiro[[#This Row],[Fluxo de Caixa 2026 CTR]]</f>
        <v>3.3.09. Viagens e Estadias - CPD</v>
      </c>
      <c r="C140" s="35"/>
      <c r="D140" s="62"/>
      <c r="E140" s="62"/>
      <c r="F140" s="62"/>
      <c r="G140" s="62"/>
      <c r="H140" s="62"/>
      <c r="I140" s="35">
        <f>Fluxo_de_Caixa_Janeiro3459117[[#This Row],[JULHO]]</f>
        <v>0</v>
      </c>
      <c r="J140" s="62">
        <f>Fluxo_de_Caixa_Janeiro345911710[[#This Row],[AGOSTO]]</f>
        <v>0</v>
      </c>
      <c r="K140" s="62">
        <f>Fluxo_de_Caixa_Janeiro34591171012[[#This Row],[SETEMBRO]]</f>
        <v>0</v>
      </c>
      <c r="L140" s="62">
        <f>Fluxo_de_Caixa_Janeiro3459117101215[[#This Row],[OUTUBRO]]</f>
        <v>0</v>
      </c>
      <c r="M140" s="62">
        <f>Fluxo_de_Caixa_Janeiro345911710121516[[#This Row],[NOVEMBRO]]</f>
        <v>0</v>
      </c>
      <c r="N140" s="119">
        <f>Fluxo_de_Caixa_Janeiro34591171012151619[[#This Row],[DEZEMBRO]]</f>
        <v>0</v>
      </c>
      <c r="O140" s="224">
        <f>SUM(Fluxo_de_Caixa_Janeiro31020817[[#This Row],[Janeiro]:[Dezembro]])</f>
        <v>0</v>
      </c>
      <c r="P140" s="194" t="str">
        <f t="shared" si="7"/>
        <v>0,00%</v>
      </c>
      <c r="Q140" s="75"/>
      <c r="R140" s="32" t="str">
        <f>IF(Fluxo_de_Caixa_Janeiro31020817[[#This Row],[% ACUMULADO  2º SEMEST 2025]]&lt;=Fluxo_de_Caixa_Janeiro31020817[[#This Row],[Coluna1]],"VERDADEIRO","FALSO")</f>
        <v>FALSO</v>
      </c>
    </row>
    <row r="141" spans="1:18" x14ac:dyDescent="0.25">
      <c r="B141" s="55">
        <f>Fluxo_de_Caixa_Janeiro[[#This Row],[Fluxo de Caixa 2026 CTR]]</f>
        <v>0</v>
      </c>
      <c r="C141" s="35"/>
      <c r="D141" s="62"/>
      <c r="E141" s="62"/>
      <c r="F141" s="62"/>
      <c r="G141" s="62"/>
      <c r="H141" s="62"/>
      <c r="I141" s="35">
        <f>Fluxo_de_Caixa_Janeiro3459117[[#This Row],[JULHO]]</f>
        <v>0</v>
      </c>
      <c r="J141" s="62">
        <f>Fluxo_de_Caixa_Janeiro345911710[[#This Row],[AGOSTO]]</f>
        <v>0</v>
      </c>
      <c r="K141" s="62">
        <f>Fluxo_de_Caixa_Janeiro34591171012[[#This Row],[SETEMBRO]]</f>
        <v>0</v>
      </c>
      <c r="L141" s="62">
        <f>Fluxo_de_Caixa_Janeiro3459117101215[[#This Row],[OUTUBRO]]</f>
        <v>0</v>
      </c>
      <c r="M141" s="62">
        <f>Fluxo_de_Caixa_Janeiro345911710121516[[#This Row],[NOVEMBRO]]</f>
        <v>0</v>
      </c>
      <c r="N141" s="119">
        <f>Fluxo_de_Caixa_Janeiro34591171012151619[[#This Row],[DEZEMBRO]]</f>
        <v>0</v>
      </c>
      <c r="O141" s="224">
        <f>SUM(Fluxo_de_Caixa_Janeiro31020817[[#This Row],[Janeiro]:[Dezembro]])</f>
        <v>0</v>
      </c>
      <c r="P141" s="194" t="str">
        <f t="shared" si="7"/>
        <v>0,00%</v>
      </c>
      <c r="Q141" s="75"/>
      <c r="R141" s="32" t="str">
        <f>IF(Fluxo_de_Caixa_Janeiro31020817[[#This Row],[% ACUMULADO  2º SEMEST 2025]]&lt;=Fluxo_de_Caixa_Janeiro31020817[[#This Row],[Coluna1]],"VERDADEIRO","FALSO")</f>
        <v>FALSO</v>
      </c>
    </row>
    <row r="142" spans="1:18" x14ac:dyDescent="0.25">
      <c r="B142" s="55">
        <f>Fluxo_de_Caixa_Janeiro[[#This Row],[Fluxo de Caixa 2026 CTR]]</f>
        <v>0</v>
      </c>
      <c r="C142" s="35"/>
      <c r="D142" s="62"/>
      <c r="E142" s="62"/>
      <c r="F142" s="62"/>
      <c r="G142" s="62"/>
      <c r="H142" s="62"/>
      <c r="I142" s="35">
        <f>Fluxo_de_Caixa_Janeiro3459117[[#This Row],[JULHO]]</f>
        <v>0</v>
      </c>
      <c r="J142" s="62">
        <f>Fluxo_de_Caixa_Janeiro345911710[[#This Row],[AGOSTO]]</f>
        <v>0</v>
      </c>
      <c r="K142" s="62">
        <f>Fluxo_de_Caixa_Janeiro34591171012[[#This Row],[SETEMBRO]]</f>
        <v>0</v>
      </c>
      <c r="L142" s="62">
        <f>Fluxo_de_Caixa_Janeiro3459117101215[[#This Row],[OUTUBRO]]</f>
        <v>0</v>
      </c>
      <c r="M142" s="62">
        <f>Fluxo_de_Caixa_Janeiro345911710121516[[#This Row],[NOVEMBRO]]</f>
        <v>0</v>
      </c>
      <c r="N142" s="119">
        <f>Fluxo_de_Caixa_Janeiro34591171012151619[[#This Row],[DEZEMBRO]]</f>
        <v>0</v>
      </c>
      <c r="O142" s="224">
        <f>SUM(Fluxo_de_Caixa_Janeiro31020817[[#This Row],[Janeiro]:[Dezembro]])</f>
        <v>0</v>
      </c>
      <c r="P142" s="194" t="str">
        <f t="shared" si="7"/>
        <v>0,00%</v>
      </c>
      <c r="Q142" s="75"/>
      <c r="R142" s="32" t="str">
        <f>IF(Fluxo_de_Caixa_Janeiro31020817[[#This Row],[% ACUMULADO  2º SEMEST 2025]]&lt;=Fluxo_de_Caixa_Janeiro31020817[[#This Row],[Coluna1]],"VERDADEIRO","FALSO")</f>
        <v>FALSO</v>
      </c>
    </row>
    <row r="143" spans="1:18" x14ac:dyDescent="0.25">
      <c r="B143" s="55">
        <f>Fluxo_de_Caixa_Janeiro[[#This Row],[Fluxo de Caixa 2026 CTR]]</f>
        <v>0</v>
      </c>
      <c r="C143" s="35"/>
      <c r="D143" s="62"/>
      <c r="E143" s="62"/>
      <c r="F143" s="62"/>
      <c r="G143" s="62"/>
      <c r="H143" s="62"/>
      <c r="I143" s="35">
        <f>Fluxo_de_Caixa_Janeiro3459117[[#This Row],[JULHO]]</f>
        <v>0</v>
      </c>
      <c r="J143" s="62">
        <f>Fluxo_de_Caixa_Janeiro345911710[[#This Row],[AGOSTO]]</f>
        <v>0</v>
      </c>
      <c r="K143" s="62">
        <f>Fluxo_de_Caixa_Janeiro34591171012[[#This Row],[SETEMBRO]]</f>
        <v>0</v>
      </c>
      <c r="L143" s="62">
        <f>Fluxo_de_Caixa_Janeiro3459117101215[[#This Row],[OUTUBRO]]</f>
        <v>0</v>
      </c>
      <c r="M143" s="62">
        <f>Fluxo_de_Caixa_Janeiro345911710121516[[#This Row],[NOVEMBRO]]</f>
        <v>0</v>
      </c>
      <c r="N143" s="119">
        <f>Fluxo_de_Caixa_Janeiro34591171012151619[[#This Row],[DEZEMBRO]]</f>
        <v>0</v>
      </c>
      <c r="O143" s="224">
        <f>SUM(Fluxo_de_Caixa_Janeiro31020817[[#This Row],[Janeiro]:[Dezembro]])</f>
        <v>0</v>
      </c>
      <c r="P143" s="194" t="str">
        <f t="shared" si="7"/>
        <v>0,00%</v>
      </c>
      <c r="Q143" s="75"/>
      <c r="R143" s="32" t="str">
        <f>IF(Fluxo_de_Caixa_Janeiro31020817[[#This Row],[% ACUMULADO  2º SEMEST 2025]]&lt;=Fluxo_de_Caixa_Janeiro31020817[[#This Row],[Coluna1]],"VERDADEIRO","FALSO")</f>
        <v>FALSO</v>
      </c>
    </row>
    <row r="144" spans="1:18" ht="15.75" thickBot="1" x14ac:dyDescent="0.3">
      <c r="B144" s="55">
        <f>Fluxo_de_Caixa_Janeiro[[#This Row],[Fluxo de Caixa 2026 CTR]]</f>
        <v>0</v>
      </c>
      <c r="C144" s="35"/>
      <c r="D144" s="62"/>
      <c r="E144" s="62"/>
      <c r="F144" s="62"/>
      <c r="G144" s="62"/>
      <c r="H144" s="62"/>
      <c r="I144" s="35">
        <f>Fluxo_de_Caixa_Janeiro3459117[[#This Row],[JULHO]]</f>
        <v>0</v>
      </c>
      <c r="J144" s="62">
        <f>Fluxo_de_Caixa_Janeiro345911710[[#This Row],[AGOSTO]]</f>
        <v>0</v>
      </c>
      <c r="K144" s="62">
        <f>Fluxo_de_Caixa_Janeiro34591171012[[#This Row],[SETEMBRO]]</f>
        <v>0</v>
      </c>
      <c r="L144" s="62">
        <f>Fluxo_de_Caixa_Janeiro3459117101215[[#This Row],[OUTUBRO]]</f>
        <v>0</v>
      </c>
      <c r="M144" s="62">
        <f>Fluxo_de_Caixa_Janeiro345911710121516[[#This Row],[NOVEMBRO]]</f>
        <v>0</v>
      </c>
      <c r="N144" s="119">
        <f>Fluxo_de_Caixa_Janeiro34591171012151619[[#This Row],[DEZEMBRO]]</f>
        <v>0</v>
      </c>
      <c r="O144" s="224">
        <f>SUM(Fluxo_de_Caixa_Janeiro31020817[[#This Row],[Janeiro]:[Dezembro]])</f>
        <v>0</v>
      </c>
      <c r="P144" s="194" t="str">
        <f t="shared" si="7"/>
        <v>0,00%</v>
      </c>
      <c r="Q144" s="75"/>
      <c r="R144" s="32" t="str">
        <f>IF(Fluxo_de_Caixa_Janeiro31020817[[#This Row],[% ACUMULADO  2º SEMEST 2025]]&lt;=Fluxo_de_Caixa_Janeiro31020817[[#This Row],[Coluna1]],"VERDADEIRO","FALSO")</f>
        <v>FALSO</v>
      </c>
    </row>
    <row r="145" spans="2:18" ht="19.5" thickBot="1" x14ac:dyDescent="0.35">
      <c r="B145" s="277" t="str">
        <f>Fluxo_de_Caixa_Janeiro[[#This Row],[Fluxo de Caixa 2026 CTR]]</f>
        <v>3.4. ADMINISTRATIVAS</v>
      </c>
      <c r="C145" s="158"/>
      <c r="D145" s="97"/>
      <c r="E145" s="97"/>
      <c r="F145" s="97"/>
      <c r="G145" s="97"/>
      <c r="H145" s="97"/>
      <c r="I145" s="158">
        <f>Fluxo_de_Caixa_Janeiro3459117[[#This Row],[JULHO]]</f>
        <v>0</v>
      </c>
      <c r="J145" s="97">
        <f>Fluxo_de_Caixa_Janeiro345911710[[#This Row],[AGOSTO]]</f>
        <v>0</v>
      </c>
      <c r="K145" s="97">
        <f>Fluxo_de_Caixa_Janeiro34591171012[[#This Row],[SETEMBRO]]</f>
        <v>0</v>
      </c>
      <c r="L145" s="97">
        <f>Fluxo_de_Caixa_Janeiro3459117101215[[#This Row],[OUTUBRO]]</f>
        <v>0</v>
      </c>
      <c r="M145" s="97">
        <f>Fluxo_de_Caixa_Janeiro345911710121516[[#This Row],[NOVEMBRO]]</f>
        <v>0</v>
      </c>
      <c r="N145" s="129">
        <f>Fluxo_de_Caixa_Janeiro34591171012151619[[#This Row],[DEZEMBRO]]</f>
        <v>0</v>
      </c>
      <c r="O145" s="226">
        <f>SUM(Fluxo_de_Caixa_Janeiro31020817[[#This Row],[Janeiro]:[Dezembro]])</f>
        <v>0</v>
      </c>
      <c r="P145" s="144">
        <f>-IFERROR(O145/$O$27,"0,00")</f>
        <v>0</v>
      </c>
      <c r="Q145" s="98"/>
      <c r="R145" s="32" t="str">
        <f>IF(Fluxo_de_Caixa_Janeiro31020817[[#This Row],[% ACUMULADO  2º SEMEST 2025]]&lt;=Fluxo_de_Caixa_Janeiro31020817[[#This Row],[Coluna1]],"VERDADEIRO","FALSO")</f>
        <v>VERDADEIRO</v>
      </c>
    </row>
    <row r="146" spans="2:18" x14ac:dyDescent="0.25">
      <c r="B146" s="55" t="str">
        <f>Fluxo_de_Caixa_Janeiro[[#This Row],[Fluxo de Caixa 2026 CTR]]</f>
        <v>3.4.01. Supermercado/Padaria/Farmácia</v>
      </c>
      <c r="C146" s="35"/>
      <c r="D146" s="62"/>
      <c r="E146" s="62"/>
      <c r="F146" s="62"/>
      <c r="G146" s="62"/>
      <c r="H146" s="62"/>
      <c r="I146" s="35">
        <f>Fluxo_de_Caixa_Janeiro3459117[[#This Row],[JULHO]]</f>
        <v>0</v>
      </c>
      <c r="J146" s="62">
        <f>Fluxo_de_Caixa_Janeiro345911710[[#This Row],[AGOSTO]]</f>
        <v>0</v>
      </c>
      <c r="K146" s="62">
        <f>Fluxo_de_Caixa_Janeiro34591171012[[#This Row],[SETEMBRO]]</f>
        <v>0</v>
      </c>
      <c r="L146" s="62">
        <f>Fluxo_de_Caixa_Janeiro3459117101215[[#This Row],[OUTUBRO]]</f>
        <v>0</v>
      </c>
      <c r="M146" s="62">
        <f>Fluxo_de_Caixa_Janeiro345911710121516[[#This Row],[NOVEMBRO]]</f>
        <v>0</v>
      </c>
      <c r="N146" s="119">
        <f>Fluxo_de_Caixa_Janeiro34591171012151619[[#This Row],[DEZEMBRO]]</f>
        <v>0</v>
      </c>
      <c r="O146" s="224">
        <f>SUM(Fluxo_de_Caixa_Janeiro31020817[[#This Row],[Janeiro]:[Dezembro]])</f>
        <v>0</v>
      </c>
      <c r="P146" s="194" t="str">
        <f t="shared" ref="P146:P166" si="8">IFERROR(O146/$O$27,"0,00%")</f>
        <v>0,00%</v>
      </c>
      <c r="Q146" s="75"/>
      <c r="R146" s="32" t="str">
        <f>IF(Fluxo_de_Caixa_Janeiro31020817[[#This Row],[% ACUMULADO  2º SEMEST 2025]]&lt;=Fluxo_de_Caixa_Janeiro31020817[[#This Row],[Coluna1]],"VERDADEIRO","FALSO")</f>
        <v>FALSO</v>
      </c>
    </row>
    <row r="147" spans="2:18" x14ac:dyDescent="0.25">
      <c r="B147" s="55" t="str">
        <f>Fluxo_de_Caixa_Janeiro[[#This Row],[Fluxo de Caixa 2026 CTR]]</f>
        <v>3.4.02. Material Administrativo de Expediente</v>
      </c>
      <c r="C147" s="35"/>
      <c r="D147" s="62"/>
      <c r="E147" s="62"/>
      <c r="F147" s="62"/>
      <c r="G147" s="62"/>
      <c r="H147" s="62"/>
      <c r="I147" s="35">
        <f>Fluxo_de_Caixa_Janeiro3459117[[#This Row],[JULHO]]</f>
        <v>0</v>
      </c>
      <c r="J147" s="62">
        <f>Fluxo_de_Caixa_Janeiro345911710[[#This Row],[AGOSTO]]</f>
        <v>0</v>
      </c>
      <c r="K147" s="62">
        <f>Fluxo_de_Caixa_Janeiro34591171012[[#This Row],[SETEMBRO]]</f>
        <v>0</v>
      </c>
      <c r="L147" s="62">
        <f>Fluxo_de_Caixa_Janeiro3459117101215[[#This Row],[OUTUBRO]]</f>
        <v>0</v>
      </c>
      <c r="M147" s="62">
        <f>Fluxo_de_Caixa_Janeiro345911710121516[[#This Row],[NOVEMBRO]]</f>
        <v>0</v>
      </c>
      <c r="N147" s="119">
        <f>Fluxo_de_Caixa_Janeiro34591171012151619[[#This Row],[DEZEMBRO]]</f>
        <v>0</v>
      </c>
      <c r="O147" s="224">
        <f>SUM(Fluxo_de_Caixa_Janeiro31020817[[#This Row],[Janeiro]:[Dezembro]])</f>
        <v>0</v>
      </c>
      <c r="P147" s="194" t="str">
        <f t="shared" si="8"/>
        <v>0,00%</v>
      </c>
      <c r="Q147" s="75"/>
      <c r="R147" s="32" t="str">
        <f>IF(Fluxo_de_Caixa_Janeiro31020817[[#This Row],[% ACUMULADO  2º SEMEST 2025]]&lt;=Fluxo_de_Caixa_Janeiro31020817[[#This Row],[Coluna1]],"VERDADEIRO","FALSO")</f>
        <v>FALSO</v>
      </c>
    </row>
    <row r="148" spans="2:18" x14ac:dyDescent="0.25">
      <c r="B148" s="55" t="str">
        <f>Fluxo_de_Caixa_Janeiro[[#This Row],[Fluxo de Caixa 2026 CTR]]</f>
        <v>3.4.03. Correios/Gollog/Latam Cargas</v>
      </c>
      <c r="C148" s="35"/>
      <c r="D148" s="62"/>
      <c r="E148" s="62"/>
      <c r="F148" s="62"/>
      <c r="G148" s="62"/>
      <c r="H148" s="62"/>
      <c r="I148" s="35">
        <f>Fluxo_de_Caixa_Janeiro3459117[[#This Row],[JULHO]]</f>
        <v>0</v>
      </c>
      <c r="J148" s="62">
        <f>Fluxo_de_Caixa_Janeiro345911710[[#This Row],[AGOSTO]]</f>
        <v>0</v>
      </c>
      <c r="K148" s="62">
        <f>Fluxo_de_Caixa_Janeiro34591171012[[#This Row],[SETEMBRO]]</f>
        <v>0</v>
      </c>
      <c r="L148" s="62">
        <f>Fluxo_de_Caixa_Janeiro3459117101215[[#This Row],[OUTUBRO]]</f>
        <v>0</v>
      </c>
      <c r="M148" s="62">
        <f>Fluxo_de_Caixa_Janeiro345911710121516[[#This Row],[NOVEMBRO]]</f>
        <v>0</v>
      </c>
      <c r="N148" s="119">
        <f>Fluxo_de_Caixa_Janeiro34591171012151619[[#This Row],[DEZEMBRO]]</f>
        <v>0</v>
      </c>
      <c r="O148" s="224">
        <f>SUM(Fluxo_de_Caixa_Janeiro31020817[[#This Row],[Janeiro]:[Dezembro]])</f>
        <v>0</v>
      </c>
      <c r="P148" s="194" t="str">
        <f t="shared" si="8"/>
        <v>0,00%</v>
      </c>
      <c r="Q148" s="75"/>
      <c r="R148" s="32" t="str">
        <f>IF(Fluxo_de_Caixa_Janeiro31020817[[#This Row],[% ACUMULADO  2º SEMEST 2025]]&lt;=Fluxo_de_Caixa_Janeiro31020817[[#This Row],[Coluna1]],"VERDADEIRO","FALSO")</f>
        <v>FALSO</v>
      </c>
    </row>
    <row r="149" spans="2:18" x14ac:dyDescent="0.25">
      <c r="B149" s="55" t="str">
        <f>Fluxo_de_Caixa_Janeiro[[#This Row],[Fluxo de Caixa 2026 CTR]]</f>
        <v>3.4.04. Cartório</v>
      </c>
      <c r="C149" s="35"/>
      <c r="D149" s="62"/>
      <c r="E149" s="62"/>
      <c r="F149" s="62"/>
      <c r="G149" s="62"/>
      <c r="H149" s="62"/>
      <c r="I149" s="35">
        <f>Fluxo_de_Caixa_Janeiro3459117[[#This Row],[JULHO]]</f>
        <v>0</v>
      </c>
      <c r="J149" s="62">
        <f>Fluxo_de_Caixa_Janeiro345911710[[#This Row],[AGOSTO]]</f>
        <v>0</v>
      </c>
      <c r="K149" s="62">
        <f>Fluxo_de_Caixa_Janeiro34591171012[[#This Row],[SETEMBRO]]</f>
        <v>0</v>
      </c>
      <c r="L149" s="62">
        <f>Fluxo_de_Caixa_Janeiro3459117101215[[#This Row],[OUTUBRO]]</f>
        <v>0</v>
      </c>
      <c r="M149" s="62">
        <f>Fluxo_de_Caixa_Janeiro345911710121516[[#This Row],[NOVEMBRO]]</f>
        <v>0</v>
      </c>
      <c r="N149" s="119">
        <f>Fluxo_de_Caixa_Janeiro34591171012151619[[#This Row],[DEZEMBRO]]</f>
        <v>0</v>
      </c>
      <c r="O149" s="224">
        <f>SUM(Fluxo_de_Caixa_Janeiro31020817[[#This Row],[Janeiro]:[Dezembro]])</f>
        <v>0</v>
      </c>
      <c r="P149" s="194" t="str">
        <f t="shared" si="8"/>
        <v>0,00%</v>
      </c>
      <c r="Q149" s="75"/>
      <c r="R149" s="32" t="str">
        <f>IF(Fluxo_de_Caixa_Janeiro31020817[[#This Row],[% ACUMULADO  2º SEMEST 2025]]&lt;=Fluxo_de_Caixa_Janeiro31020817[[#This Row],[Coluna1]],"VERDADEIRO","FALSO")</f>
        <v>FALSO</v>
      </c>
    </row>
    <row r="150" spans="2:18" x14ac:dyDescent="0.25">
      <c r="B150" s="55">
        <f>Fluxo_de_Caixa_Janeiro[[#This Row],[Fluxo de Caixa 2026 CTR]]</f>
        <v>0</v>
      </c>
      <c r="C150" s="35"/>
      <c r="D150" s="62"/>
      <c r="E150" s="62"/>
      <c r="F150" s="62"/>
      <c r="G150" s="62"/>
      <c r="H150" s="62"/>
      <c r="I150" s="35">
        <f>Fluxo_de_Caixa_Janeiro3459117[[#This Row],[JULHO]]</f>
        <v>0</v>
      </c>
      <c r="J150" s="62">
        <f>Fluxo_de_Caixa_Janeiro345911710[[#This Row],[AGOSTO]]</f>
        <v>0</v>
      </c>
      <c r="K150" s="62">
        <f>Fluxo_de_Caixa_Janeiro34591171012[[#This Row],[SETEMBRO]]</f>
        <v>0</v>
      </c>
      <c r="L150" s="62">
        <f>Fluxo_de_Caixa_Janeiro3459117101215[[#This Row],[OUTUBRO]]</f>
        <v>0</v>
      </c>
      <c r="M150" s="62">
        <f>Fluxo_de_Caixa_Janeiro345911710121516[[#This Row],[NOVEMBRO]]</f>
        <v>0</v>
      </c>
      <c r="N150" s="119">
        <f>Fluxo_de_Caixa_Janeiro34591171012151619[[#This Row],[DEZEMBRO]]</f>
        <v>0</v>
      </c>
      <c r="O150" s="224">
        <f>SUM(Fluxo_de_Caixa_Janeiro31020817[[#This Row],[Janeiro]:[Dezembro]])</f>
        <v>0</v>
      </c>
      <c r="P150" s="194" t="str">
        <f t="shared" si="8"/>
        <v>0,00%</v>
      </c>
      <c r="Q150" s="75"/>
      <c r="R150" s="32" t="str">
        <f>IF(Fluxo_de_Caixa_Janeiro31020817[[#This Row],[% ACUMULADO  2º SEMEST 2025]]&lt;=Fluxo_de_Caixa_Janeiro31020817[[#This Row],[Coluna1]],"VERDADEIRO","FALSO")</f>
        <v>FALSO</v>
      </c>
    </row>
    <row r="151" spans="2:18" x14ac:dyDescent="0.25">
      <c r="B151" s="55" t="str">
        <f>Fluxo_de_Caixa_Janeiro[[#This Row],[Fluxo de Caixa 2026 CTR]]</f>
        <v>3.4.06. Manutenção/ reforma/ reparos</v>
      </c>
      <c r="C151" s="35"/>
      <c r="D151" s="62"/>
      <c r="E151" s="62"/>
      <c r="F151" s="406"/>
      <c r="G151" s="62"/>
      <c r="H151" s="62"/>
      <c r="I151" s="35">
        <f>Fluxo_de_Caixa_Janeiro3459117[[#This Row],[JULHO]]</f>
        <v>0</v>
      </c>
      <c r="J151" s="62">
        <f>Fluxo_de_Caixa_Janeiro345911710[[#This Row],[AGOSTO]]</f>
        <v>0</v>
      </c>
      <c r="K151" s="62">
        <f>Fluxo_de_Caixa_Janeiro34591171012[[#This Row],[SETEMBRO]]</f>
        <v>0</v>
      </c>
      <c r="L151" s="62">
        <f>Fluxo_de_Caixa_Janeiro3459117101215[[#This Row],[OUTUBRO]]</f>
        <v>0</v>
      </c>
      <c r="M151" s="62">
        <f>Fluxo_de_Caixa_Janeiro345911710121516[[#This Row],[NOVEMBRO]]</f>
        <v>0</v>
      </c>
      <c r="N151" s="119">
        <f>Fluxo_de_Caixa_Janeiro34591171012151619[[#This Row],[DEZEMBRO]]</f>
        <v>0</v>
      </c>
      <c r="O151" s="224">
        <f>SUM(Fluxo_de_Caixa_Janeiro31020817[[#This Row],[Janeiro]:[Dezembro]])</f>
        <v>0</v>
      </c>
      <c r="P151" s="194" t="str">
        <f t="shared" si="8"/>
        <v>0,00%</v>
      </c>
      <c r="Q151" s="75"/>
      <c r="R151" s="32" t="str">
        <f>IF(Fluxo_de_Caixa_Janeiro31020817[[#This Row],[% ACUMULADO  2º SEMEST 2025]]&lt;=Fluxo_de_Caixa_Janeiro31020817[[#This Row],[Coluna1]],"VERDADEIRO","FALSO")</f>
        <v>FALSO</v>
      </c>
    </row>
    <row r="152" spans="2:18" x14ac:dyDescent="0.25">
      <c r="B152" s="55" t="str">
        <f>Fluxo_de_Caixa_Janeiro[[#This Row],[Fluxo de Caixa 2026 CTR]]</f>
        <v>3.4.07. Diária de Prestador de Serviço</v>
      </c>
      <c r="C152" s="35"/>
      <c r="D152" s="62"/>
      <c r="E152" s="62"/>
      <c r="F152" s="62"/>
      <c r="G152" s="62"/>
      <c r="H152" s="62"/>
      <c r="I152" s="35">
        <f>Fluxo_de_Caixa_Janeiro3459117[[#This Row],[JULHO]]</f>
        <v>0</v>
      </c>
      <c r="J152" s="62">
        <f>Fluxo_de_Caixa_Janeiro345911710[[#This Row],[AGOSTO]]</f>
        <v>0</v>
      </c>
      <c r="K152" s="62">
        <f>Fluxo_de_Caixa_Janeiro34591171012[[#This Row],[SETEMBRO]]</f>
        <v>0</v>
      </c>
      <c r="L152" s="62">
        <f>Fluxo_de_Caixa_Janeiro3459117101215[[#This Row],[OUTUBRO]]</f>
        <v>0</v>
      </c>
      <c r="M152" s="62">
        <f>Fluxo_de_Caixa_Janeiro345911710121516[[#This Row],[NOVEMBRO]]</f>
        <v>0</v>
      </c>
      <c r="N152" s="119">
        <f>Fluxo_de_Caixa_Janeiro34591171012151619[[#This Row],[DEZEMBRO]]</f>
        <v>0</v>
      </c>
      <c r="O152" s="224">
        <f>SUM(Fluxo_de_Caixa_Janeiro31020817[[#This Row],[Janeiro]:[Dezembro]])</f>
        <v>0</v>
      </c>
      <c r="P152" s="194" t="str">
        <f t="shared" si="8"/>
        <v>0,00%</v>
      </c>
      <c r="Q152" s="75"/>
      <c r="R152" s="32" t="str">
        <f>IF(Fluxo_de_Caixa_Janeiro31020817[[#This Row],[% ACUMULADO  2º SEMEST 2025]]&lt;=Fluxo_de_Caixa_Janeiro31020817[[#This Row],[Coluna1]],"VERDADEIRO","FALSO")</f>
        <v>FALSO</v>
      </c>
    </row>
    <row r="153" spans="2:18" x14ac:dyDescent="0.25">
      <c r="B153" s="169" t="str">
        <f>Fluxo_de_Caixa_Janeiro[[#This Row],[Fluxo de Caixa 2026 CTR]]</f>
        <v>3.4.08. Consultoria (RH/Empresarial/Contábil/Etc)</v>
      </c>
      <c r="C153" s="41"/>
      <c r="D153" s="81"/>
      <c r="E153" s="81"/>
      <c r="F153" s="81"/>
      <c r="G153" s="81"/>
      <c r="H153" s="81"/>
      <c r="I153" s="41">
        <f>Fluxo_de_Caixa_Janeiro3459117[[#This Row],[JULHO]]</f>
        <v>0</v>
      </c>
      <c r="J153" s="81">
        <f>Fluxo_de_Caixa_Janeiro345911710[[#This Row],[AGOSTO]]</f>
        <v>0</v>
      </c>
      <c r="K153" s="81">
        <f>Fluxo_de_Caixa_Janeiro34591171012[[#This Row],[SETEMBRO]]</f>
        <v>0</v>
      </c>
      <c r="L153" s="81">
        <f>Fluxo_de_Caixa_Janeiro3459117101215[[#This Row],[OUTUBRO]]</f>
        <v>0</v>
      </c>
      <c r="M153" s="81">
        <f>Fluxo_de_Caixa_Janeiro345911710121516[[#This Row],[NOVEMBRO]]</f>
        <v>0</v>
      </c>
      <c r="N153" s="118">
        <f>Fluxo_de_Caixa_Janeiro34591171012151619[[#This Row],[DEZEMBRO]]</f>
        <v>0</v>
      </c>
      <c r="O153" s="223">
        <f>SUM(Fluxo_de_Caixa_Janeiro31020817[[#This Row],[Janeiro]:[Dezembro]])</f>
        <v>0</v>
      </c>
      <c r="P153" s="193" t="str">
        <f t="shared" si="8"/>
        <v>0,00%</v>
      </c>
      <c r="Q153" s="93"/>
      <c r="R153" s="32" t="str">
        <f>IF(Fluxo_de_Caixa_Janeiro31020817[[#This Row],[% ACUMULADO  2º SEMEST 2025]]&lt;=Fluxo_de_Caixa_Janeiro31020817[[#This Row],[Coluna1]],"VERDADEIRO","FALSO")</f>
        <v>FALSO</v>
      </c>
    </row>
    <row r="154" spans="2:18" x14ac:dyDescent="0.25">
      <c r="B154" s="55" t="str">
        <f>Fluxo_de_Caixa_Janeiro[[#This Row],[Fluxo de Caixa 2026 CTR]]</f>
        <v>3.4.09. Honorarios Advogado</v>
      </c>
      <c r="C154" s="35"/>
      <c r="D154" s="62"/>
      <c r="E154" s="62"/>
      <c r="F154" s="62"/>
      <c r="G154" s="62"/>
      <c r="H154" s="62"/>
      <c r="I154" s="35">
        <f>Fluxo_de_Caixa_Janeiro3459117[[#This Row],[JULHO]]</f>
        <v>0</v>
      </c>
      <c r="J154" s="62">
        <f>Fluxo_de_Caixa_Janeiro345911710[[#This Row],[AGOSTO]]</f>
        <v>0</v>
      </c>
      <c r="K154" s="62">
        <f>Fluxo_de_Caixa_Janeiro34591171012[[#This Row],[SETEMBRO]]</f>
        <v>0</v>
      </c>
      <c r="L154" s="62">
        <f>Fluxo_de_Caixa_Janeiro3459117101215[[#This Row],[OUTUBRO]]</f>
        <v>0</v>
      </c>
      <c r="M154" s="62">
        <f>Fluxo_de_Caixa_Janeiro345911710121516[[#This Row],[NOVEMBRO]]</f>
        <v>0</v>
      </c>
      <c r="N154" s="119">
        <f>Fluxo_de_Caixa_Janeiro34591171012151619[[#This Row],[DEZEMBRO]]</f>
        <v>0</v>
      </c>
      <c r="O154" s="224">
        <f>SUM(Fluxo_de_Caixa_Janeiro31020817[[#This Row],[Janeiro]:[Dezembro]])</f>
        <v>0</v>
      </c>
      <c r="P154" s="194" t="str">
        <f t="shared" si="8"/>
        <v>0,00%</v>
      </c>
      <c r="Q154" s="75"/>
      <c r="R154" s="32" t="str">
        <f>IF(Fluxo_de_Caixa_Janeiro31020817[[#This Row],[% ACUMULADO  2º SEMEST 2025]]&lt;=Fluxo_de_Caixa_Janeiro31020817[[#This Row],[Coluna1]],"VERDADEIRO","FALSO")</f>
        <v>FALSO</v>
      </c>
    </row>
    <row r="155" spans="2:18" x14ac:dyDescent="0.25">
      <c r="B155" s="55" t="str">
        <f>Fluxo_de_Caixa_Janeiro[[#This Row],[Fluxo de Caixa 2026 CTR]]</f>
        <v>3.4.10. Taxas Administrativas (Alvará de Funcio, taxas)</v>
      </c>
      <c r="C155" s="35"/>
      <c r="D155" s="62"/>
      <c r="E155" s="62"/>
      <c r="F155" s="62"/>
      <c r="G155" s="62"/>
      <c r="H155" s="62"/>
      <c r="I155" s="35">
        <f>Fluxo_de_Caixa_Janeiro3459117[[#This Row],[JULHO]]</f>
        <v>0</v>
      </c>
      <c r="J155" s="62">
        <f>Fluxo_de_Caixa_Janeiro345911710[[#This Row],[AGOSTO]]</f>
        <v>0</v>
      </c>
      <c r="K155" s="62">
        <f>Fluxo_de_Caixa_Janeiro34591171012[[#This Row],[SETEMBRO]]</f>
        <v>0</v>
      </c>
      <c r="L155" s="62">
        <f>Fluxo_de_Caixa_Janeiro3459117101215[[#This Row],[OUTUBRO]]</f>
        <v>0</v>
      </c>
      <c r="M155" s="62">
        <f>Fluxo_de_Caixa_Janeiro345911710121516[[#This Row],[NOVEMBRO]]</f>
        <v>0</v>
      </c>
      <c r="N155" s="119">
        <f>Fluxo_de_Caixa_Janeiro34591171012151619[[#This Row],[DEZEMBRO]]</f>
        <v>0</v>
      </c>
      <c r="O155" s="224">
        <f>SUM(Fluxo_de_Caixa_Janeiro31020817[[#This Row],[Janeiro]:[Dezembro]])</f>
        <v>0</v>
      </c>
      <c r="P155" s="194" t="str">
        <f t="shared" si="8"/>
        <v>0,00%</v>
      </c>
      <c r="Q155" s="75"/>
      <c r="R155" s="32" t="str">
        <f>IF(Fluxo_de_Caixa_Janeiro31020817[[#This Row],[% ACUMULADO  2º SEMEST 2025]]&lt;=Fluxo_de_Caixa_Janeiro31020817[[#This Row],[Coluna1]],"VERDADEIRO","FALSO")</f>
        <v>FALSO</v>
      </c>
    </row>
    <row r="156" spans="2:18" x14ac:dyDescent="0.25">
      <c r="B156" s="55" t="str">
        <f>Fluxo_de_Caixa_Janeiro[[#This Row],[Fluxo de Caixa 2026 CTR]]</f>
        <v>3.4.11. Despesa com Processos Judiciais</v>
      </c>
      <c r="C156" s="35"/>
      <c r="D156" s="62"/>
      <c r="E156" s="62"/>
      <c r="F156" s="62"/>
      <c r="G156" s="62"/>
      <c r="H156" s="62"/>
      <c r="I156" s="35">
        <f>Fluxo_de_Caixa_Janeiro3459117[[#This Row],[JULHO]]</f>
        <v>0</v>
      </c>
      <c r="J156" s="62">
        <f>Fluxo_de_Caixa_Janeiro345911710[[#This Row],[AGOSTO]]</f>
        <v>0</v>
      </c>
      <c r="K156" s="62">
        <f>Fluxo_de_Caixa_Janeiro34591171012[[#This Row],[SETEMBRO]]</f>
        <v>0</v>
      </c>
      <c r="L156" s="62">
        <f>Fluxo_de_Caixa_Janeiro3459117101215[[#This Row],[OUTUBRO]]</f>
        <v>0</v>
      </c>
      <c r="M156" s="62">
        <f>Fluxo_de_Caixa_Janeiro345911710121516[[#This Row],[NOVEMBRO]]</f>
        <v>0</v>
      </c>
      <c r="N156" s="119">
        <f>Fluxo_de_Caixa_Janeiro34591171012151619[[#This Row],[DEZEMBRO]]</f>
        <v>0</v>
      </c>
      <c r="O156" s="224">
        <f>SUM(Fluxo_de_Caixa_Janeiro31020817[[#This Row],[Janeiro]:[Dezembro]])</f>
        <v>0</v>
      </c>
      <c r="P156" s="194" t="str">
        <f t="shared" si="8"/>
        <v>0,00%</v>
      </c>
      <c r="Q156" s="75"/>
      <c r="R156" s="32" t="str">
        <f>IF(Fluxo_de_Caixa_Janeiro31020817[[#This Row],[% ACUMULADO  2º SEMEST 2025]]&lt;=Fluxo_de_Caixa_Janeiro31020817[[#This Row],[Coluna1]],"VERDADEIRO","FALSO")</f>
        <v>FALSO</v>
      </c>
    </row>
    <row r="157" spans="2:18" x14ac:dyDescent="0.25">
      <c r="B157" s="55" t="str">
        <f>Fluxo_de_Caixa_Janeiro[[#This Row],[Fluxo de Caixa 2026 CTR]]</f>
        <v xml:space="preserve">3.4.12. Equipe de Cobrança </v>
      </c>
      <c r="C157" s="35"/>
      <c r="D157" s="62"/>
      <c r="E157" s="62"/>
      <c r="F157" s="62"/>
      <c r="G157" s="62"/>
      <c r="H157" s="62"/>
      <c r="I157" s="35">
        <f>Fluxo_de_Caixa_Janeiro3459117[[#This Row],[JULHO]]</f>
        <v>0</v>
      </c>
      <c r="J157" s="62">
        <f>Fluxo_de_Caixa_Janeiro345911710[[#This Row],[AGOSTO]]</f>
        <v>0</v>
      </c>
      <c r="K157" s="62">
        <f>Fluxo_de_Caixa_Janeiro34591171012[[#This Row],[SETEMBRO]]</f>
        <v>0</v>
      </c>
      <c r="L157" s="62">
        <f>Fluxo_de_Caixa_Janeiro3459117101215[[#This Row],[OUTUBRO]]</f>
        <v>0</v>
      </c>
      <c r="M157" s="62">
        <f>Fluxo_de_Caixa_Janeiro345911710121516[[#This Row],[NOVEMBRO]]</f>
        <v>0</v>
      </c>
      <c r="N157" s="119">
        <f>Fluxo_de_Caixa_Janeiro34591171012151619[[#This Row],[DEZEMBRO]]</f>
        <v>0</v>
      </c>
      <c r="O157" s="224">
        <f>SUM(Fluxo_de_Caixa_Janeiro31020817[[#This Row],[Janeiro]:[Dezembro]])</f>
        <v>0</v>
      </c>
      <c r="P157" s="194" t="str">
        <f t="shared" si="8"/>
        <v>0,00%</v>
      </c>
      <c r="Q157" s="75"/>
      <c r="R157" s="32" t="str">
        <f>IF(Fluxo_de_Caixa_Janeiro31020817[[#This Row],[% ACUMULADO  2º SEMEST 2025]]&lt;=Fluxo_de_Caixa_Janeiro31020817[[#This Row],[Coluna1]],"VERDADEIRO","FALSO")</f>
        <v>FALSO</v>
      </c>
    </row>
    <row r="158" spans="2:18" x14ac:dyDescent="0.25">
      <c r="B158" s="55" t="str">
        <f>Fluxo_de_Caixa_Janeiro[[#This Row],[Fluxo de Caixa 2026 CTR]]</f>
        <v>3.4.13. Seguradora Predial / Equipamento</v>
      </c>
      <c r="C158" s="35"/>
      <c r="D158" s="62"/>
      <c r="E158" s="62"/>
      <c r="F158" s="62"/>
      <c r="G158" s="62"/>
      <c r="H158" s="62"/>
      <c r="I158" s="35">
        <f>Fluxo_de_Caixa_Janeiro3459117[[#This Row],[JULHO]]</f>
        <v>0</v>
      </c>
      <c r="J158" s="62">
        <f>Fluxo_de_Caixa_Janeiro345911710[[#This Row],[AGOSTO]]</f>
        <v>0</v>
      </c>
      <c r="K158" s="62">
        <f>Fluxo_de_Caixa_Janeiro34591171012[[#This Row],[SETEMBRO]]</f>
        <v>0</v>
      </c>
      <c r="L158" s="62">
        <f>Fluxo_de_Caixa_Janeiro3459117101215[[#This Row],[OUTUBRO]]</f>
        <v>0</v>
      </c>
      <c r="M158" s="62">
        <f>Fluxo_de_Caixa_Janeiro345911710121516[[#This Row],[NOVEMBRO]]</f>
        <v>0</v>
      </c>
      <c r="N158" s="119">
        <f>Fluxo_de_Caixa_Janeiro34591171012151619[[#This Row],[DEZEMBRO]]</f>
        <v>0</v>
      </c>
      <c r="O158" s="224">
        <f>SUM(Fluxo_de_Caixa_Janeiro31020817[[#This Row],[Janeiro]:[Dezembro]])</f>
        <v>0</v>
      </c>
      <c r="P158" s="194" t="str">
        <f t="shared" si="8"/>
        <v>0,00%</v>
      </c>
      <c r="Q158" s="75"/>
      <c r="R158" s="32" t="str">
        <f>IF(Fluxo_de_Caixa_Janeiro31020817[[#This Row],[% ACUMULADO  2º SEMEST 2025]]&lt;=Fluxo_de_Caixa_Janeiro31020817[[#This Row],[Coluna1]],"VERDADEIRO","FALSO")</f>
        <v>FALSO</v>
      </c>
    </row>
    <row r="159" spans="2:18" x14ac:dyDescent="0.25">
      <c r="B159" s="55" t="str">
        <f>Fluxo_de_Caixa_Janeiro[[#This Row],[Fluxo de Caixa 2026 CTR]]</f>
        <v>3.4.14. Consulta de crédito SPC/Serasa</v>
      </c>
      <c r="C159" s="35"/>
      <c r="D159" s="62"/>
      <c r="E159" s="62"/>
      <c r="F159" s="62"/>
      <c r="G159" s="62"/>
      <c r="H159" s="62"/>
      <c r="I159" s="35">
        <f>Fluxo_de_Caixa_Janeiro3459117[[#This Row],[JULHO]]</f>
        <v>0</v>
      </c>
      <c r="J159" s="62">
        <f>Fluxo_de_Caixa_Janeiro345911710[[#This Row],[AGOSTO]]</f>
        <v>0</v>
      </c>
      <c r="K159" s="62">
        <f>Fluxo_de_Caixa_Janeiro34591171012[[#This Row],[SETEMBRO]]</f>
        <v>0</v>
      </c>
      <c r="L159" s="62">
        <f>Fluxo_de_Caixa_Janeiro3459117101215[[#This Row],[OUTUBRO]]</f>
        <v>0</v>
      </c>
      <c r="M159" s="62">
        <f>Fluxo_de_Caixa_Janeiro345911710121516[[#This Row],[NOVEMBRO]]</f>
        <v>0</v>
      </c>
      <c r="N159" s="119">
        <f>Fluxo_de_Caixa_Janeiro34591171012151619[[#This Row],[DEZEMBRO]]</f>
        <v>0</v>
      </c>
      <c r="O159" s="224">
        <f>SUM(Fluxo_de_Caixa_Janeiro31020817[[#This Row],[Janeiro]:[Dezembro]])</f>
        <v>0</v>
      </c>
      <c r="P159" s="194" t="str">
        <f t="shared" si="8"/>
        <v>0,00%</v>
      </c>
      <c r="Q159" s="75"/>
      <c r="R159" s="32" t="str">
        <f>IF(Fluxo_de_Caixa_Janeiro31020817[[#This Row],[% ACUMULADO  2º SEMEST 2025]]&lt;=Fluxo_de_Caixa_Janeiro31020817[[#This Row],[Coluna1]],"VERDADEIRO","FALSO")</f>
        <v>FALSO</v>
      </c>
    </row>
    <row r="160" spans="2:18" x14ac:dyDescent="0.25">
      <c r="B160" s="55" t="str">
        <f>Fluxo_de_Caixa_Janeiro[[#This Row],[Fluxo de Caixa 2026 CTR]]</f>
        <v>3.4.15. Frete Compra de Material Uso e Consumo</v>
      </c>
      <c r="C160" s="35"/>
      <c r="D160" s="62"/>
      <c r="E160" s="62"/>
      <c r="F160" s="62"/>
      <c r="G160" s="62"/>
      <c r="H160" s="62"/>
      <c r="I160" s="35">
        <f>Fluxo_de_Caixa_Janeiro3459117[[#This Row],[JULHO]]</f>
        <v>0</v>
      </c>
      <c r="J160" s="62">
        <f>Fluxo_de_Caixa_Janeiro345911710[[#This Row],[AGOSTO]]</f>
        <v>0</v>
      </c>
      <c r="K160" s="62">
        <f>Fluxo_de_Caixa_Janeiro34591171012[[#This Row],[SETEMBRO]]</f>
        <v>0</v>
      </c>
      <c r="L160" s="62">
        <f>Fluxo_de_Caixa_Janeiro3459117101215[[#This Row],[OUTUBRO]]</f>
        <v>0</v>
      </c>
      <c r="M160" s="62">
        <f>Fluxo_de_Caixa_Janeiro345911710121516[[#This Row],[NOVEMBRO]]</f>
        <v>0</v>
      </c>
      <c r="N160" s="397">
        <f>Fluxo_de_Caixa_Janeiro34591171012151619[[#This Row],[DEZEMBRO]]</f>
        <v>0</v>
      </c>
      <c r="O160" s="224">
        <f>SUM(Fluxo_de_Caixa_Janeiro31020817[[#This Row],[Janeiro]:[Dezembro]])</f>
        <v>0</v>
      </c>
      <c r="P160" s="194" t="str">
        <f t="shared" si="8"/>
        <v>0,00%</v>
      </c>
      <c r="Q160" s="75"/>
      <c r="R160" s="32" t="str">
        <f>IF(Fluxo_de_Caixa_Janeiro31020817[[#This Row],[% ACUMULADO  2º SEMEST 2025]]&lt;=Fluxo_de_Caixa_Janeiro31020817[[#This Row],[Coluna1]],"VERDADEIRO","FALSO")</f>
        <v>FALSO</v>
      </c>
    </row>
    <row r="161" spans="1:18" x14ac:dyDescent="0.25">
      <c r="B161" s="55" t="str">
        <f>Fluxo_de_Caixa_Janeiro[[#This Row],[Fluxo de Caixa 2026 CTR]]</f>
        <v xml:space="preserve">3.4.16. Pro labore </v>
      </c>
      <c r="C161" s="35"/>
      <c r="D161" s="62"/>
      <c r="E161" s="62"/>
      <c r="F161" s="62"/>
      <c r="G161" s="62"/>
      <c r="H161" s="62"/>
      <c r="I161" s="35">
        <f>Fluxo_de_Caixa_Janeiro3459117[[#This Row],[JULHO]]</f>
        <v>0</v>
      </c>
      <c r="J161" s="62">
        <f>Fluxo_de_Caixa_Janeiro345911710[[#This Row],[AGOSTO]]</f>
        <v>0</v>
      </c>
      <c r="K161" s="62">
        <f>Fluxo_de_Caixa_Janeiro34591171012[[#This Row],[SETEMBRO]]</f>
        <v>0</v>
      </c>
      <c r="L161" s="62">
        <f>Fluxo_de_Caixa_Janeiro3459117101215[[#This Row],[OUTUBRO]]</f>
        <v>0</v>
      </c>
      <c r="M161" s="62">
        <f>Fluxo_de_Caixa_Janeiro345911710121516[[#This Row],[NOVEMBRO]]</f>
        <v>0</v>
      </c>
      <c r="N161" s="119">
        <f>Fluxo_de_Caixa_Janeiro34591171012151619[[#This Row],[DEZEMBRO]]</f>
        <v>0</v>
      </c>
      <c r="O161" s="224">
        <f>SUM(Fluxo_de_Caixa_Janeiro31020817[[#This Row],[Janeiro]:[Dezembro]])</f>
        <v>0</v>
      </c>
      <c r="P161" s="194" t="str">
        <f t="shared" si="8"/>
        <v>0,00%</v>
      </c>
      <c r="Q161" s="75"/>
      <c r="R161" s="32" t="str">
        <f>IF(Fluxo_de_Caixa_Janeiro31020817[[#This Row],[% ACUMULADO  2º SEMEST 2025]]&lt;=Fluxo_de_Caixa_Janeiro31020817[[#This Row],[Coluna1]],"VERDADEIRO","FALSO")</f>
        <v>FALSO</v>
      </c>
    </row>
    <row r="162" spans="1:18" x14ac:dyDescent="0.25">
      <c r="B162" s="55" t="str">
        <f>Fluxo_de_Caixa_Janeiro[[#This Row],[Fluxo de Caixa 2026 CTR]]</f>
        <v>3.4.17. Multas Administrativas e trabalhistas</v>
      </c>
      <c r="C162" s="35"/>
      <c r="D162" s="62"/>
      <c r="E162" s="62"/>
      <c r="F162" s="62"/>
      <c r="G162" s="62"/>
      <c r="H162" s="62"/>
      <c r="I162" s="35">
        <f>Fluxo_de_Caixa_Janeiro3459117[[#This Row],[JULHO]]</f>
        <v>0</v>
      </c>
      <c r="J162" s="62">
        <f>Fluxo_de_Caixa_Janeiro345911710[[#This Row],[AGOSTO]]</f>
        <v>0</v>
      </c>
      <c r="K162" s="62">
        <f>Fluxo_de_Caixa_Janeiro34591171012[[#This Row],[SETEMBRO]]</f>
        <v>0</v>
      </c>
      <c r="L162" s="62">
        <f>Fluxo_de_Caixa_Janeiro3459117101215[[#This Row],[OUTUBRO]]</f>
        <v>0</v>
      </c>
      <c r="M162" s="62">
        <f>Fluxo_de_Caixa_Janeiro345911710121516[[#This Row],[NOVEMBRO]]</f>
        <v>0</v>
      </c>
      <c r="N162" s="119">
        <f>Fluxo_de_Caixa_Janeiro34591171012151619[[#This Row],[DEZEMBRO]]</f>
        <v>0</v>
      </c>
      <c r="O162" s="224">
        <f>SUM(Fluxo_de_Caixa_Janeiro31020817[[#This Row],[Janeiro]:[Dezembro]])</f>
        <v>0</v>
      </c>
      <c r="P162" s="194" t="str">
        <f t="shared" si="8"/>
        <v>0,00%</v>
      </c>
      <c r="Q162" s="75"/>
      <c r="R162" s="32" t="str">
        <f>IF(Fluxo_de_Caixa_Janeiro31020817[[#This Row],[% ACUMULADO  2º SEMEST 2025]]&lt;=Fluxo_de_Caixa_Janeiro31020817[[#This Row],[Coluna1]],"VERDADEIRO","FALSO")</f>
        <v>FALSO</v>
      </c>
    </row>
    <row r="163" spans="1:18" x14ac:dyDescent="0.25">
      <c r="B163" s="55" t="str">
        <f>Fluxo_de_Caixa_Janeiro[[#This Row],[Fluxo de Caixa 2026 CTR]]</f>
        <v>3.4.18. Seguro Prestamista - Variavel (Emprestimo)</v>
      </c>
      <c r="C163" s="35"/>
      <c r="D163" s="62"/>
      <c r="E163" s="62"/>
      <c r="F163" s="62"/>
      <c r="G163" s="62"/>
      <c r="H163" s="62"/>
      <c r="I163" s="35">
        <f>Fluxo_de_Caixa_Janeiro3459117[[#This Row],[JULHO]]</f>
        <v>0</v>
      </c>
      <c r="J163" s="62">
        <f>Fluxo_de_Caixa_Janeiro345911710[[#This Row],[AGOSTO]]</f>
        <v>0</v>
      </c>
      <c r="K163" s="62">
        <f>Fluxo_de_Caixa_Janeiro34591171012[[#This Row],[SETEMBRO]]</f>
        <v>0</v>
      </c>
      <c r="L163" s="62">
        <f>Fluxo_de_Caixa_Janeiro3459117101215[[#This Row],[OUTUBRO]]</f>
        <v>0</v>
      </c>
      <c r="M163" s="62">
        <f>Fluxo_de_Caixa_Janeiro345911710121516[[#This Row],[NOVEMBRO]]</f>
        <v>0</v>
      </c>
      <c r="N163" s="119">
        <f>Fluxo_de_Caixa_Janeiro34591171012151619[[#This Row],[DEZEMBRO]]</f>
        <v>0</v>
      </c>
      <c r="O163" s="224">
        <f>SUM(Fluxo_de_Caixa_Janeiro31020817[[#This Row],[Janeiro]:[Dezembro]])</f>
        <v>0</v>
      </c>
      <c r="P163" s="194" t="str">
        <f t="shared" si="8"/>
        <v>0,00%</v>
      </c>
      <c r="Q163" s="75"/>
      <c r="R163" s="32" t="str">
        <f>IF(Fluxo_de_Caixa_Janeiro31020817[[#This Row],[% ACUMULADO  2º SEMEST 2025]]&lt;=Fluxo_de_Caixa_Janeiro31020817[[#This Row],[Coluna1]],"VERDADEIRO","FALSO")</f>
        <v>FALSO</v>
      </c>
    </row>
    <row r="164" spans="1:18" x14ac:dyDescent="0.25">
      <c r="B164" s="55" t="str">
        <f>Fluxo_de_Caixa_Janeiro[[#This Row],[Fluxo de Caixa 2026 CTR]]</f>
        <v>3.4.19. Contribuições e Doações</v>
      </c>
      <c r="C164" s="35"/>
      <c r="D164" s="62"/>
      <c r="E164" s="62"/>
      <c r="F164" s="62"/>
      <c r="G164" s="62"/>
      <c r="H164" s="62"/>
      <c r="I164" s="35">
        <f>Fluxo_de_Caixa_Janeiro3459117[[#This Row],[JULHO]]</f>
        <v>0</v>
      </c>
      <c r="J164" s="62">
        <f>Fluxo_de_Caixa_Janeiro345911710[[#This Row],[AGOSTO]]</f>
        <v>0</v>
      </c>
      <c r="K164" s="62">
        <f>Fluxo_de_Caixa_Janeiro34591171012[[#This Row],[SETEMBRO]]</f>
        <v>0</v>
      </c>
      <c r="L164" s="62">
        <f>Fluxo_de_Caixa_Janeiro3459117101215[[#This Row],[OUTUBRO]]</f>
        <v>0</v>
      </c>
      <c r="M164" s="62">
        <f>Fluxo_de_Caixa_Janeiro345911710121516[[#This Row],[NOVEMBRO]]</f>
        <v>0</v>
      </c>
      <c r="N164" s="119">
        <f>Fluxo_de_Caixa_Janeiro34591171012151619[[#This Row],[DEZEMBRO]]</f>
        <v>0</v>
      </c>
      <c r="O164" s="224">
        <f>SUM(Fluxo_de_Caixa_Janeiro31020817[[#This Row],[Janeiro]:[Dezembro]])</f>
        <v>0</v>
      </c>
      <c r="P164" s="194" t="str">
        <f t="shared" si="8"/>
        <v>0,00%</v>
      </c>
      <c r="Q164" s="75"/>
      <c r="R164" s="32" t="str">
        <f>IF(Fluxo_de_Caixa_Janeiro31020817[[#This Row],[% ACUMULADO  2º SEMEST 2025]]&lt;=Fluxo_de_Caixa_Janeiro31020817[[#This Row],[Coluna1]],"VERDADEIRO","FALSO")</f>
        <v>FALSO</v>
      </c>
    </row>
    <row r="165" spans="1:18" x14ac:dyDescent="0.25">
      <c r="B165" s="55" t="str">
        <f>Fluxo_de_Caixa_Janeiro[[#This Row],[Fluxo de Caixa 2026 CTR]]</f>
        <v>3.4.20. Aquisi. Equipam. ADM não Imobilizavel</v>
      </c>
      <c r="C165" s="35"/>
      <c r="D165" s="62"/>
      <c r="E165" s="62"/>
      <c r="F165" s="62"/>
      <c r="G165" s="62"/>
      <c r="H165" s="62"/>
      <c r="I165" s="35">
        <f>Fluxo_de_Caixa_Janeiro3459117[[#This Row],[JULHO]]</f>
        <v>0</v>
      </c>
      <c r="J165" s="62">
        <f>Fluxo_de_Caixa_Janeiro345911710[[#This Row],[AGOSTO]]</f>
        <v>0</v>
      </c>
      <c r="K165" s="62">
        <f>Fluxo_de_Caixa_Janeiro34591171012[[#This Row],[SETEMBRO]]</f>
        <v>0</v>
      </c>
      <c r="L165" s="62">
        <f>Fluxo_de_Caixa_Janeiro3459117101215[[#This Row],[OUTUBRO]]</f>
        <v>0</v>
      </c>
      <c r="M165" s="62">
        <f>Fluxo_de_Caixa_Janeiro345911710121516[[#This Row],[NOVEMBRO]]</f>
        <v>0</v>
      </c>
      <c r="N165" s="119">
        <f>Fluxo_de_Caixa_Janeiro34591171012151619[[#This Row],[DEZEMBRO]]</f>
        <v>0</v>
      </c>
      <c r="O165" s="224">
        <f>SUM(Fluxo_de_Caixa_Janeiro31020817[[#This Row],[Janeiro]:[Dezembro]])</f>
        <v>0</v>
      </c>
      <c r="P165" s="194" t="str">
        <f t="shared" si="8"/>
        <v>0,00%</v>
      </c>
      <c r="Q165" s="75"/>
      <c r="R165" s="32" t="str">
        <f>IF(Fluxo_de_Caixa_Janeiro31020817[[#This Row],[% ACUMULADO  2º SEMEST 2025]]&lt;=Fluxo_de_Caixa_Janeiro31020817[[#This Row],[Coluna1]],"VERDADEIRO","FALSO")</f>
        <v>FALSO</v>
      </c>
    </row>
    <row r="166" spans="1:18" ht="15.75" thickBot="1" x14ac:dyDescent="0.3">
      <c r="B166" s="276">
        <f>Fluxo_de_Caixa_Janeiro[[#This Row],[Fluxo de Caixa 2026 CTR]]</f>
        <v>0</v>
      </c>
      <c r="C166" s="36"/>
      <c r="D166" s="82"/>
      <c r="E166" s="82"/>
      <c r="F166" s="82"/>
      <c r="G166" s="82"/>
      <c r="H166" s="82"/>
      <c r="I166" s="36">
        <f>Fluxo_de_Caixa_Janeiro3459117[[#This Row],[JULHO]]</f>
        <v>0</v>
      </c>
      <c r="J166" s="82">
        <f>Fluxo_de_Caixa_Janeiro345911710[[#This Row],[AGOSTO]]</f>
        <v>0</v>
      </c>
      <c r="K166" s="82">
        <f>Fluxo_de_Caixa_Janeiro34591171012[[#This Row],[SETEMBRO]]</f>
        <v>0</v>
      </c>
      <c r="L166" s="82">
        <f>Fluxo_de_Caixa_Janeiro3459117101215[[#This Row],[OUTUBRO]]</f>
        <v>0</v>
      </c>
      <c r="M166" s="82">
        <f>Fluxo_de_Caixa_Janeiro345911710121516[[#This Row],[NOVEMBRO]]</f>
        <v>0</v>
      </c>
      <c r="N166" s="120">
        <f>Fluxo_de_Caixa_Janeiro34591171012151619[[#This Row],[DEZEMBRO]]</f>
        <v>0</v>
      </c>
      <c r="O166" s="225">
        <f>SUM(Fluxo_de_Caixa_Janeiro31020817[[#This Row],[Janeiro]:[Dezembro]])</f>
        <v>0</v>
      </c>
      <c r="P166" s="195" t="str">
        <f t="shared" si="8"/>
        <v>0,00%</v>
      </c>
      <c r="Q166" s="96"/>
      <c r="R166" s="32" t="str">
        <f>IF(Fluxo_de_Caixa_Janeiro31020817[[#This Row],[% ACUMULADO  2º SEMEST 2025]]&lt;=Fluxo_de_Caixa_Janeiro31020817[[#This Row],[Coluna1]],"VERDADEIRO","FALSO")</f>
        <v>FALSO</v>
      </c>
    </row>
    <row r="167" spans="1:18" ht="19.5" thickBot="1" x14ac:dyDescent="0.35">
      <c r="A167" s="15" t="s">
        <v>6</v>
      </c>
      <c r="B167" s="168" t="str">
        <f>Fluxo_de_Caixa_Janeiro[[#This Row],[Fluxo de Caixa 2026 CTR]]</f>
        <v>3.5. DESPESAS FIXAS</v>
      </c>
      <c r="C167" s="158"/>
      <c r="D167" s="97"/>
      <c r="E167" s="97"/>
      <c r="F167" s="97"/>
      <c r="G167" s="97"/>
      <c r="H167" s="97"/>
      <c r="I167" s="158">
        <f>Fluxo_de_Caixa_Janeiro3459117[[#This Row],[JULHO]]</f>
        <v>0</v>
      </c>
      <c r="J167" s="97">
        <f>Fluxo_de_Caixa_Janeiro345911710[[#This Row],[AGOSTO]]</f>
        <v>0</v>
      </c>
      <c r="K167" s="97">
        <f>Fluxo_de_Caixa_Janeiro34591171012[[#This Row],[SETEMBRO]]</f>
        <v>0</v>
      </c>
      <c r="L167" s="97">
        <f>Fluxo_de_Caixa_Janeiro3459117101215[[#This Row],[OUTUBRO]]</f>
        <v>0</v>
      </c>
      <c r="M167" s="97">
        <f>Fluxo_de_Caixa_Janeiro345911710121516[[#This Row],[NOVEMBRO]]</f>
        <v>0</v>
      </c>
      <c r="N167" s="129">
        <f>Fluxo_de_Caixa_Janeiro34591171012151619[[#This Row],[DEZEMBRO]]</f>
        <v>0</v>
      </c>
      <c r="O167" s="226">
        <f>SUM(Fluxo_de_Caixa_Janeiro31020817[[#This Row],[Janeiro]:[Dezembro]])</f>
        <v>0</v>
      </c>
      <c r="P167" s="144">
        <f>-IFERROR(O167/$O$27,"0,00")</f>
        <v>0</v>
      </c>
      <c r="Q167" s="98"/>
      <c r="R167" s="32" t="str">
        <f>IF(Fluxo_de_Caixa_Janeiro31020817[[#This Row],[% ACUMULADO  2º SEMEST 2025]]&lt;=Fluxo_de_Caixa_Janeiro31020817[[#This Row],[Coluna1]],"VERDADEIRO","FALSO")</f>
        <v>VERDADEIRO</v>
      </c>
    </row>
    <row r="168" spans="1:18" x14ac:dyDescent="0.25">
      <c r="B168" s="169" t="str">
        <f>Fluxo_de_Caixa_Janeiro[[#This Row],[Fluxo de Caixa 2026 CTR]]</f>
        <v>3.5.01. Conta de Água</v>
      </c>
      <c r="C168" s="41"/>
      <c r="D168" s="81"/>
      <c r="E168" s="81"/>
      <c r="F168" s="81"/>
      <c r="G168" s="81"/>
      <c r="H168" s="81"/>
      <c r="I168" s="41">
        <f>Fluxo_de_Caixa_Janeiro3459117[[#This Row],[JULHO]]</f>
        <v>0</v>
      </c>
      <c r="J168" s="81">
        <f>Fluxo_de_Caixa_Janeiro345911710[[#This Row],[AGOSTO]]</f>
        <v>0</v>
      </c>
      <c r="K168" s="81">
        <f>Fluxo_de_Caixa_Janeiro34591171012[[#This Row],[SETEMBRO]]</f>
        <v>0</v>
      </c>
      <c r="L168" s="81">
        <f>Fluxo_de_Caixa_Janeiro3459117101215[[#This Row],[OUTUBRO]]</f>
        <v>0</v>
      </c>
      <c r="M168" s="81">
        <f>Fluxo_de_Caixa_Janeiro345911710121516[[#This Row],[NOVEMBRO]]</f>
        <v>0</v>
      </c>
      <c r="N168" s="118">
        <f>Fluxo_de_Caixa_Janeiro34591171012151619[[#This Row],[DEZEMBRO]]</f>
        <v>0</v>
      </c>
      <c r="O168" s="223">
        <f>SUM(Fluxo_de_Caixa_Janeiro31020817[[#This Row],[Janeiro]:[Dezembro]])</f>
        <v>0</v>
      </c>
      <c r="P168" s="193" t="str">
        <f t="shared" ref="P168:P181" si="9">IFERROR(O168/$O$27,"0,00%")</f>
        <v>0,00%</v>
      </c>
      <c r="Q168" s="93"/>
      <c r="R168" s="32" t="str">
        <f>IF(Fluxo_de_Caixa_Janeiro31020817[[#This Row],[% ACUMULADO  2º SEMEST 2025]]&lt;=Fluxo_de_Caixa_Janeiro31020817[[#This Row],[Coluna1]],"VERDADEIRO","FALSO")</f>
        <v>FALSO</v>
      </c>
    </row>
    <row r="169" spans="1:18" x14ac:dyDescent="0.25">
      <c r="B169" s="55" t="str">
        <f>Fluxo_de_Caixa_Janeiro[[#This Row],[Fluxo de Caixa 2026 CTR]]</f>
        <v xml:space="preserve">3.5.02. Conta de Energia </v>
      </c>
      <c r="C169" s="35"/>
      <c r="D169" s="62"/>
      <c r="E169" s="62"/>
      <c r="F169" s="62"/>
      <c r="G169" s="62"/>
      <c r="H169" s="62"/>
      <c r="I169" s="35">
        <f>Fluxo_de_Caixa_Janeiro3459117[[#This Row],[JULHO]]</f>
        <v>0</v>
      </c>
      <c r="J169" s="62">
        <f>Fluxo_de_Caixa_Janeiro345911710[[#This Row],[AGOSTO]]</f>
        <v>0</v>
      </c>
      <c r="K169" s="62">
        <f>Fluxo_de_Caixa_Janeiro34591171012[[#This Row],[SETEMBRO]]</f>
        <v>0</v>
      </c>
      <c r="L169" s="62">
        <f>Fluxo_de_Caixa_Janeiro3459117101215[[#This Row],[OUTUBRO]]</f>
        <v>0</v>
      </c>
      <c r="M169" s="62">
        <f>Fluxo_de_Caixa_Janeiro345911710121516[[#This Row],[NOVEMBRO]]</f>
        <v>0</v>
      </c>
      <c r="N169" s="119">
        <f>Fluxo_de_Caixa_Janeiro34591171012151619[[#This Row],[DEZEMBRO]]</f>
        <v>0</v>
      </c>
      <c r="O169" s="224">
        <f>SUM(Fluxo_de_Caixa_Janeiro31020817[[#This Row],[Janeiro]:[Dezembro]])</f>
        <v>0</v>
      </c>
      <c r="P169" s="194" t="str">
        <f t="shared" si="9"/>
        <v>0,00%</v>
      </c>
      <c r="Q169" s="75"/>
      <c r="R169" s="32" t="str">
        <f>IF(Fluxo_de_Caixa_Janeiro31020817[[#This Row],[% ACUMULADO  2º SEMEST 2025]]&lt;=Fluxo_de_Caixa_Janeiro31020817[[#This Row],[Coluna1]],"VERDADEIRO","FALSO")</f>
        <v>FALSO</v>
      </c>
    </row>
    <row r="170" spans="1:18" x14ac:dyDescent="0.25">
      <c r="B170" s="55" t="str">
        <f>Fluxo_de_Caixa_Janeiro[[#This Row],[Fluxo de Caixa 2026 CTR]]</f>
        <v>3.5.03. Conta de Telefone Fixo/Internet</v>
      </c>
      <c r="C170" s="35"/>
      <c r="D170" s="62"/>
      <c r="E170" s="62"/>
      <c r="F170" s="62"/>
      <c r="G170" s="62"/>
      <c r="H170" s="62"/>
      <c r="I170" s="35">
        <f>Fluxo_de_Caixa_Janeiro3459117[[#This Row],[JULHO]]</f>
        <v>0</v>
      </c>
      <c r="J170" s="62">
        <f>Fluxo_de_Caixa_Janeiro345911710[[#This Row],[AGOSTO]]</f>
        <v>0</v>
      </c>
      <c r="K170" s="62">
        <f>Fluxo_de_Caixa_Janeiro34591171012[[#This Row],[SETEMBRO]]</f>
        <v>0</v>
      </c>
      <c r="L170" s="62">
        <f>Fluxo_de_Caixa_Janeiro3459117101215[[#This Row],[OUTUBRO]]</f>
        <v>0</v>
      </c>
      <c r="M170" s="62">
        <f>Fluxo_de_Caixa_Janeiro345911710121516[[#This Row],[NOVEMBRO]]</f>
        <v>0</v>
      </c>
      <c r="N170" s="119">
        <f>Fluxo_de_Caixa_Janeiro34591171012151619[[#This Row],[DEZEMBRO]]</f>
        <v>0</v>
      </c>
      <c r="O170" s="224">
        <f>SUM(Fluxo_de_Caixa_Janeiro31020817[[#This Row],[Janeiro]:[Dezembro]])</f>
        <v>0</v>
      </c>
      <c r="P170" s="194" t="str">
        <f t="shared" si="9"/>
        <v>0,00%</v>
      </c>
      <c r="Q170" s="75"/>
      <c r="R170" s="32" t="str">
        <f>IF(Fluxo_de_Caixa_Janeiro31020817[[#This Row],[% ACUMULADO  2º SEMEST 2025]]&lt;=Fluxo_de_Caixa_Janeiro31020817[[#This Row],[Coluna1]],"VERDADEIRO","FALSO")</f>
        <v>FALSO</v>
      </c>
    </row>
    <row r="171" spans="1:18" x14ac:dyDescent="0.25">
      <c r="B171" s="55" t="str">
        <f>Fluxo_de_Caixa_Janeiro[[#This Row],[Fluxo de Caixa 2026 CTR]]</f>
        <v>3.5.04. Conta de Celular</v>
      </c>
      <c r="C171" s="35"/>
      <c r="D171" s="62"/>
      <c r="E171" s="62"/>
      <c r="F171" s="62"/>
      <c r="G171" s="62"/>
      <c r="H171" s="62"/>
      <c r="I171" s="35">
        <f>Fluxo_de_Caixa_Janeiro3459117[[#This Row],[JULHO]]</f>
        <v>0</v>
      </c>
      <c r="J171" s="62">
        <f>Fluxo_de_Caixa_Janeiro345911710[[#This Row],[AGOSTO]]</f>
        <v>0</v>
      </c>
      <c r="K171" s="62">
        <f>Fluxo_de_Caixa_Janeiro34591171012[[#This Row],[SETEMBRO]]</f>
        <v>0</v>
      </c>
      <c r="L171" s="62">
        <f>Fluxo_de_Caixa_Janeiro3459117101215[[#This Row],[OUTUBRO]]</f>
        <v>0</v>
      </c>
      <c r="M171" s="62">
        <f>Fluxo_de_Caixa_Janeiro345911710121516[[#This Row],[NOVEMBRO]]</f>
        <v>0</v>
      </c>
      <c r="N171" s="119">
        <f>Fluxo_de_Caixa_Janeiro34591171012151619[[#This Row],[DEZEMBRO]]</f>
        <v>0</v>
      </c>
      <c r="O171" s="224">
        <f>SUM(Fluxo_de_Caixa_Janeiro31020817[[#This Row],[Janeiro]:[Dezembro]])</f>
        <v>0</v>
      </c>
      <c r="P171" s="194" t="str">
        <f t="shared" si="9"/>
        <v>0,00%</v>
      </c>
      <c r="Q171" s="75"/>
      <c r="R171" s="32" t="str">
        <f>IF(Fluxo_de_Caixa_Janeiro31020817[[#This Row],[% ACUMULADO  2º SEMEST 2025]]&lt;=Fluxo_de_Caixa_Janeiro31020817[[#This Row],[Coluna1]],"VERDADEIRO","FALSO")</f>
        <v>FALSO</v>
      </c>
    </row>
    <row r="172" spans="1:18" x14ac:dyDescent="0.25">
      <c r="B172" s="55" t="str">
        <f>Fluxo_de_Caixa_Janeiro[[#This Row],[Fluxo de Caixa 2026 CTR]]</f>
        <v>3.5.05. Aluguel Predial</v>
      </c>
      <c r="C172" s="35"/>
      <c r="D172" s="62"/>
      <c r="E172" s="62"/>
      <c r="F172" s="62"/>
      <c r="G172" s="62"/>
      <c r="H172" s="62"/>
      <c r="I172" s="35">
        <f>Fluxo_de_Caixa_Janeiro3459117[[#This Row],[JULHO]]</f>
        <v>0</v>
      </c>
      <c r="J172" s="62">
        <f>Fluxo_de_Caixa_Janeiro345911710[[#This Row],[AGOSTO]]</f>
        <v>0</v>
      </c>
      <c r="K172" s="62">
        <f>Fluxo_de_Caixa_Janeiro34591171012[[#This Row],[SETEMBRO]]</f>
        <v>0</v>
      </c>
      <c r="L172" s="62">
        <f>Fluxo_de_Caixa_Janeiro3459117101215[[#This Row],[OUTUBRO]]</f>
        <v>0</v>
      </c>
      <c r="M172" s="62">
        <f>Fluxo_de_Caixa_Janeiro345911710121516[[#This Row],[NOVEMBRO]]</f>
        <v>0</v>
      </c>
      <c r="N172" s="119">
        <f>Fluxo_de_Caixa_Janeiro34591171012151619[[#This Row],[DEZEMBRO]]</f>
        <v>0</v>
      </c>
      <c r="O172" s="224">
        <f>SUM(Fluxo_de_Caixa_Janeiro31020817[[#This Row],[Janeiro]:[Dezembro]])</f>
        <v>0</v>
      </c>
      <c r="P172" s="194" t="str">
        <f t="shared" si="9"/>
        <v>0,00%</v>
      </c>
      <c r="Q172" s="75"/>
      <c r="R172" s="32" t="str">
        <f>IF(Fluxo_de_Caixa_Janeiro31020817[[#This Row],[% ACUMULADO  2º SEMEST 2025]]&lt;=Fluxo_de_Caixa_Janeiro31020817[[#This Row],[Coluna1]],"VERDADEIRO","FALSO")</f>
        <v>FALSO</v>
      </c>
    </row>
    <row r="173" spans="1:18" x14ac:dyDescent="0.25">
      <c r="B173" s="55" t="str">
        <f>Fluxo_de_Caixa_Janeiro[[#This Row],[Fluxo de Caixa 2026 CTR]]</f>
        <v>3.5.06. Aluguel Maquina de Cartão</v>
      </c>
      <c r="C173" s="35"/>
      <c r="D173" s="62"/>
      <c r="E173" s="62"/>
      <c r="F173" s="62"/>
      <c r="G173" s="62"/>
      <c r="H173" s="62"/>
      <c r="I173" s="35">
        <f>Fluxo_de_Caixa_Janeiro3459117[[#This Row],[JULHO]]</f>
        <v>0</v>
      </c>
      <c r="J173" s="62">
        <f>Fluxo_de_Caixa_Janeiro345911710[[#This Row],[AGOSTO]]</f>
        <v>0</v>
      </c>
      <c r="K173" s="62">
        <f>Fluxo_de_Caixa_Janeiro34591171012[[#This Row],[SETEMBRO]]</f>
        <v>0</v>
      </c>
      <c r="L173" s="62">
        <f>Fluxo_de_Caixa_Janeiro3459117101215[[#This Row],[OUTUBRO]]</f>
        <v>0</v>
      </c>
      <c r="M173" s="62">
        <f>Fluxo_de_Caixa_Janeiro345911710121516[[#This Row],[NOVEMBRO]]</f>
        <v>0</v>
      </c>
      <c r="N173" s="119">
        <f>Fluxo_de_Caixa_Janeiro34591171012151619[[#This Row],[DEZEMBRO]]</f>
        <v>0</v>
      </c>
      <c r="O173" s="224">
        <f>SUM(Fluxo_de_Caixa_Janeiro31020817[[#This Row],[Janeiro]:[Dezembro]])</f>
        <v>0</v>
      </c>
      <c r="P173" s="194" t="str">
        <f t="shared" si="9"/>
        <v>0,00%</v>
      </c>
      <c r="Q173" s="75"/>
      <c r="R173" s="32" t="str">
        <f>IF(Fluxo_de_Caixa_Janeiro31020817[[#This Row],[% ACUMULADO  2º SEMEST 2025]]&lt;=Fluxo_de_Caixa_Janeiro31020817[[#This Row],[Coluna1]],"VERDADEIRO","FALSO")</f>
        <v>FALSO</v>
      </c>
    </row>
    <row r="174" spans="1:18" x14ac:dyDescent="0.25">
      <c r="B174" s="169" t="str">
        <f>Fluxo_de_Caixa_Janeiro[[#This Row],[Fluxo de Caixa 2026 CTR]]</f>
        <v>3.5.07. Empresa de Vigilância e Monitoramento</v>
      </c>
      <c r="C174" s="41"/>
      <c r="D174" s="81"/>
      <c r="E174" s="81"/>
      <c r="F174" s="81"/>
      <c r="G174" s="81"/>
      <c r="H174" s="81"/>
      <c r="I174" s="41">
        <f>Fluxo_de_Caixa_Janeiro3459117[[#This Row],[JULHO]]</f>
        <v>0</v>
      </c>
      <c r="J174" s="81">
        <f>Fluxo_de_Caixa_Janeiro345911710[[#This Row],[AGOSTO]]</f>
        <v>0</v>
      </c>
      <c r="K174" s="81">
        <f>Fluxo_de_Caixa_Janeiro34591171012[[#This Row],[SETEMBRO]]</f>
        <v>0</v>
      </c>
      <c r="L174" s="81">
        <f>Fluxo_de_Caixa_Janeiro3459117101215[[#This Row],[OUTUBRO]]</f>
        <v>0</v>
      </c>
      <c r="M174" s="81">
        <f>Fluxo_de_Caixa_Janeiro345911710121516[[#This Row],[NOVEMBRO]]</f>
        <v>0</v>
      </c>
      <c r="N174" s="118">
        <f>Fluxo_de_Caixa_Janeiro34591171012151619[[#This Row],[DEZEMBRO]]</f>
        <v>0</v>
      </c>
      <c r="O174" s="223">
        <f>SUM(Fluxo_de_Caixa_Janeiro31020817[[#This Row],[Janeiro]:[Dezembro]])</f>
        <v>0</v>
      </c>
      <c r="P174" s="193" t="str">
        <f t="shared" si="9"/>
        <v>0,00%</v>
      </c>
      <c r="Q174" s="93"/>
      <c r="R174" s="32" t="str">
        <f>IF(Fluxo_de_Caixa_Janeiro31020817[[#This Row],[% ACUMULADO  2º SEMEST 2025]]&lt;=Fluxo_de_Caixa_Janeiro31020817[[#This Row],[Coluna1]],"VERDADEIRO","FALSO")</f>
        <v>FALSO</v>
      </c>
    </row>
    <row r="175" spans="1:18" x14ac:dyDescent="0.25">
      <c r="B175" s="55">
        <f>Fluxo_de_Caixa_Janeiro[[#This Row],[Fluxo de Caixa 2026 CTR]]</f>
        <v>0</v>
      </c>
      <c r="C175" s="35"/>
      <c r="D175" s="62"/>
      <c r="E175" s="62"/>
      <c r="F175" s="62"/>
      <c r="G175" s="62"/>
      <c r="H175" s="62"/>
      <c r="I175" s="35">
        <f>Fluxo_de_Caixa_Janeiro3459117[[#This Row],[JULHO]]</f>
        <v>0</v>
      </c>
      <c r="J175" s="62">
        <f>Fluxo_de_Caixa_Janeiro345911710[[#This Row],[AGOSTO]]</f>
        <v>0</v>
      </c>
      <c r="K175" s="62">
        <f>Fluxo_de_Caixa_Janeiro34591171012[[#This Row],[SETEMBRO]]</f>
        <v>0</v>
      </c>
      <c r="L175" s="62">
        <f>Fluxo_de_Caixa_Janeiro3459117101215[[#This Row],[OUTUBRO]]</f>
        <v>0</v>
      </c>
      <c r="M175" s="62">
        <f>Fluxo_de_Caixa_Janeiro345911710121516[[#This Row],[NOVEMBRO]]</f>
        <v>0</v>
      </c>
      <c r="N175" s="119">
        <f>Fluxo_de_Caixa_Janeiro34591171012151619[[#This Row],[DEZEMBRO]]</f>
        <v>0</v>
      </c>
      <c r="O175" s="224">
        <f>SUM(Fluxo_de_Caixa_Janeiro31020817[[#This Row],[Janeiro]:[Dezembro]])</f>
        <v>0</v>
      </c>
      <c r="P175" s="194" t="str">
        <f t="shared" si="9"/>
        <v>0,00%</v>
      </c>
      <c r="Q175" s="75"/>
      <c r="R175" s="32" t="str">
        <f>IF(Fluxo_de_Caixa_Janeiro31020817[[#This Row],[% ACUMULADO  2º SEMEST 2025]]&lt;=Fluxo_de_Caixa_Janeiro31020817[[#This Row],[Coluna1]],"VERDADEIRO","FALSO")</f>
        <v>FALSO</v>
      </c>
    </row>
    <row r="176" spans="1:18" x14ac:dyDescent="0.25">
      <c r="B176" s="55" t="str">
        <f>Fluxo_de_Caixa_Janeiro[[#This Row],[Fluxo de Caixa 2026 CTR]]</f>
        <v>3.5.09. Sindicato Patronal / Entidades de apoio Comercio/Indus</v>
      </c>
      <c r="C176" s="35"/>
      <c r="D176" s="62"/>
      <c r="E176" s="62"/>
      <c r="F176" s="62"/>
      <c r="G176" s="62"/>
      <c r="H176" s="62"/>
      <c r="I176" s="35">
        <f>Fluxo_de_Caixa_Janeiro3459117[[#This Row],[JULHO]]</f>
        <v>0</v>
      </c>
      <c r="J176" s="62">
        <f>Fluxo_de_Caixa_Janeiro345911710[[#This Row],[AGOSTO]]</f>
        <v>0</v>
      </c>
      <c r="K176" s="62">
        <f>Fluxo_de_Caixa_Janeiro34591171012[[#This Row],[SETEMBRO]]</f>
        <v>0</v>
      </c>
      <c r="L176" s="62">
        <f>Fluxo_de_Caixa_Janeiro3459117101215[[#This Row],[OUTUBRO]]</f>
        <v>0</v>
      </c>
      <c r="M176" s="62">
        <f>Fluxo_de_Caixa_Janeiro345911710121516[[#This Row],[NOVEMBRO]]</f>
        <v>0</v>
      </c>
      <c r="N176" s="119">
        <f>Fluxo_de_Caixa_Janeiro34591171012151619[[#This Row],[DEZEMBRO]]</f>
        <v>0</v>
      </c>
      <c r="O176" s="224">
        <f>SUM(Fluxo_de_Caixa_Janeiro31020817[[#This Row],[Janeiro]:[Dezembro]])</f>
        <v>0</v>
      </c>
      <c r="P176" s="194" t="str">
        <f t="shared" si="9"/>
        <v>0,00%</v>
      </c>
      <c r="Q176" s="75"/>
      <c r="R176" s="32" t="str">
        <f>IF(Fluxo_de_Caixa_Janeiro31020817[[#This Row],[% ACUMULADO  2º SEMEST 2025]]&lt;=Fluxo_de_Caixa_Janeiro31020817[[#This Row],[Coluna1]],"VERDADEIRO","FALSO")</f>
        <v>FALSO</v>
      </c>
    </row>
    <row r="177" spans="2:18" x14ac:dyDescent="0.25">
      <c r="B177" s="55" t="str">
        <f>Fluxo_de_Caixa_Janeiro[[#This Row],[Fluxo de Caixa 2026 CTR]]</f>
        <v>3.5.10. Honorarios Contabilidade</v>
      </c>
      <c r="C177" s="35"/>
      <c r="D177" s="62"/>
      <c r="E177" s="62"/>
      <c r="F177" s="62"/>
      <c r="G177" s="62"/>
      <c r="H177" s="62"/>
      <c r="I177" s="35">
        <f>Fluxo_de_Caixa_Janeiro3459117[[#This Row],[JULHO]]</f>
        <v>0</v>
      </c>
      <c r="J177" s="62">
        <f>Fluxo_de_Caixa_Janeiro345911710[[#This Row],[AGOSTO]]</f>
        <v>0</v>
      </c>
      <c r="K177" s="62">
        <f>Fluxo_de_Caixa_Janeiro34591171012[[#This Row],[SETEMBRO]]</f>
        <v>0</v>
      </c>
      <c r="L177" s="62">
        <f>Fluxo_de_Caixa_Janeiro3459117101215[[#This Row],[OUTUBRO]]</f>
        <v>0</v>
      </c>
      <c r="M177" s="62">
        <f>Fluxo_de_Caixa_Janeiro345911710121516[[#This Row],[NOVEMBRO]]</f>
        <v>0</v>
      </c>
      <c r="N177" s="119">
        <f>Fluxo_de_Caixa_Janeiro34591171012151619[[#This Row],[DEZEMBRO]]</f>
        <v>0</v>
      </c>
      <c r="O177" s="224">
        <f>SUM(Fluxo_de_Caixa_Janeiro31020817[[#This Row],[Janeiro]:[Dezembro]])</f>
        <v>0</v>
      </c>
      <c r="P177" s="194" t="str">
        <f t="shared" si="9"/>
        <v>0,00%</v>
      </c>
      <c r="Q177" s="75"/>
      <c r="R177" s="32" t="str">
        <f>IF(Fluxo_de_Caixa_Janeiro31020817[[#This Row],[% ACUMULADO  2º SEMEST 2025]]&lt;=Fluxo_de_Caixa_Janeiro31020817[[#This Row],[Coluna1]],"VERDADEIRO","FALSO")</f>
        <v>FALSO</v>
      </c>
    </row>
    <row r="178" spans="2:18" x14ac:dyDescent="0.25">
      <c r="B178" s="55" t="str">
        <f>Fluxo_de_Caixa_Janeiro[[#This Row],[Fluxo de Caixa 2026 CTR]]</f>
        <v>3.5.10.01. DECIMO TERCEIRO CONTABILIDADE</v>
      </c>
      <c r="C178" s="35"/>
      <c r="D178" s="62"/>
      <c r="E178" s="62"/>
      <c r="F178" s="62"/>
      <c r="G178" s="62"/>
      <c r="H178" s="62"/>
      <c r="I178" s="35">
        <f>Fluxo_de_Caixa_Janeiro3459117[[#This Row],[JULHO]]</f>
        <v>0</v>
      </c>
      <c r="J178" s="62">
        <f>Fluxo_de_Caixa_Janeiro345911710[[#This Row],[AGOSTO]]</f>
        <v>0</v>
      </c>
      <c r="K178" s="62">
        <f>Fluxo_de_Caixa_Janeiro34591171012[[#This Row],[SETEMBRO]]</f>
        <v>0</v>
      </c>
      <c r="L178" s="62">
        <f>Fluxo_de_Caixa_Janeiro3459117101215[[#This Row],[OUTUBRO]]</f>
        <v>0</v>
      </c>
      <c r="M178" s="62">
        <f>Fluxo_de_Caixa_Janeiro345911710121516[[#This Row],[NOVEMBRO]]</f>
        <v>0</v>
      </c>
      <c r="N178" s="119">
        <f>Fluxo_de_Caixa_Janeiro34591171012151619[[#This Row],[DEZEMBRO]]</f>
        <v>0</v>
      </c>
      <c r="O178" s="224">
        <f>SUM(Fluxo_de_Caixa_Janeiro31020817[[#This Row],[Janeiro]:[Dezembro]])</f>
        <v>0</v>
      </c>
      <c r="P178" s="194" t="str">
        <f t="shared" si="9"/>
        <v>0,00%</v>
      </c>
      <c r="Q178" s="75"/>
      <c r="R178" s="32" t="str">
        <f>IF(Fluxo_de_Caixa_Janeiro31020817[[#This Row],[% ACUMULADO  2º SEMEST 2025]]&lt;=Fluxo_de_Caixa_Janeiro31020817[[#This Row],[Coluna1]],"VERDADEIRO","FALSO")</f>
        <v>FALSO</v>
      </c>
    </row>
    <row r="179" spans="2:18" x14ac:dyDescent="0.25">
      <c r="B179" s="55">
        <f>Fluxo_de_Caixa_Janeiro[[#This Row],[Fluxo de Caixa 2026 CTR]]</f>
        <v>0</v>
      </c>
      <c r="C179" s="35"/>
      <c r="D179" s="62"/>
      <c r="E179" s="62"/>
      <c r="F179" s="62"/>
      <c r="G179" s="62"/>
      <c r="H179" s="62"/>
      <c r="I179" s="35">
        <f>Fluxo_de_Caixa_Janeiro3459117[[#This Row],[JULHO]]</f>
        <v>0</v>
      </c>
      <c r="J179" s="62">
        <f>Fluxo_de_Caixa_Janeiro345911710[[#This Row],[AGOSTO]]</f>
        <v>0</v>
      </c>
      <c r="K179" s="62">
        <f>Fluxo_de_Caixa_Janeiro34591171012[[#This Row],[SETEMBRO]]</f>
        <v>0</v>
      </c>
      <c r="L179" s="62">
        <f>Fluxo_de_Caixa_Janeiro3459117101215[[#This Row],[OUTUBRO]]</f>
        <v>0</v>
      </c>
      <c r="M179" s="62">
        <f>Fluxo_de_Caixa_Janeiro345911710121516[[#This Row],[NOVEMBRO]]</f>
        <v>0</v>
      </c>
      <c r="N179" s="119">
        <f>Fluxo_de_Caixa_Janeiro34591171012151619[[#This Row],[DEZEMBRO]]</f>
        <v>0</v>
      </c>
      <c r="O179" s="224">
        <f>SUM(Fluxo_de_Caixa_Janeiro31020817[[#This Row],[Janeiro]:[Dezembro]])</f>
        <v>0</v>
      </c>
      <c r="P179" s="194" t="str">
        <f t="shared" si="9"/>
        <v>0,00%</v>
      </c>
      <c r="Q179" s="75"/>
      <c r="R179" s="32" t="str">
        <f>IF(Fluxo_de_Caixa_Janeiro31020817[[#This Row],[% ACUMULADO  2º SEMEST 2025]]&lt;=Fluxo_de_Caixa_Janeiro31020817[[#This Row],[Coluna1]],"VERDADEIRO","FALSO")</f>
        <v>FALSO</v>
      </c>
    </row>
    <row r="180" spans="2:18" x14ac:dyDescent="0.25">
      <c r="B180" s="55">
        <f>Fluxo_de_Caixa_Janeiro[[#This Row],[Fluxo de Caixa 2026 CTR]]</f>
        <v>0</v>
      </c>
      <c r="C180" s="35"/>
      <c r="D180" s="62"/>
      <c r="E180" s="62"/>
      <c r="F180" s="62"/>
      <c r="G180" s="62"/>
      <c r="H180" s="62"/>
      <c r="I180" s="35">
        <f>Fluxo_de_Caixa_Janeiro3459117[[#This Row],[JULHO]]</f>
        <v>0</v>
      </c>
      <c r="J180" s="62">
        <f>Fluxo_de_Caixa_Janeiro345911710[[#This Row],[AGOSTO]]</f>
        <v>0</v>
      </c>
      <c r="K180" s="62">
        <f>Fluxo_de_Caixa_Janeiro34591171012[[#This Row],[SETEMBRO]]</f>
        <v>0</v>
      </c>
      <c r="L180" s="62">
        <f>Fluxo_de_Caixa_Janeiro3459117101215[[#This Row],[OUTUBRO]]</f>
        <v>0</v>
      </c>
      <c r="M180" s="62">
        <f>Fluxo_de_Caixa_Janeiro345911710121516[[#This Row],[NOVEMBRO]]</f>
        <v>0</v>
      </c>
      <c r="N180" s="119">
        <f>Fluxo_de_Caixa_Janeiro34591171012151619[[#This Row],[DEZEMBRO]]</f>
        <v>0</v>
      </c>
      <c r="O180" s="224">
        <f>SUM(Fluxo_de_Caixa_Janeiro31020817[[#This Row],[Janeiro]:[Dezembro]])</f>
        <v>0</v>
      </c>
      <c r="P180" s="194" t="str">
        <f t="shared" si="9"/>
        <v>0,00%</v>
      </c>
      <c r="Q180" s="75"/>
      <c r="R180" s="32" t="str">
        <f>IF(Fluxo_de_Caixa_Janeiro31020817[[#This Row],[% ACUMULADO  2º SEMEST 2025]]&lt;=Fluxo_de_Caixa_Janeiro31020817[[#This Row],[Coluna1]],"VERDADEIRO","FALSO")</f>
        <v>FALSO</v>
      </c>
    </row>
    <row r="181" spans="2:18" ht="15.75" thickBot="1" x14ac:dyDescent="0.3">
      <c r="B181" s="55">
        <f>Fluxo_de_Caixa_Janeiro[[#This Row],[Fluxo de Caixa 2026 CTR]]</f>
        <v>0</v>
      </c>
      <c r="C181" s="35"/>
      <c r="D181" s="62"/>
      <c r="E181" s="62"/>
      <c r="F181" s="62"/>
      <c r="G181" s="62"/>
      <c r="H181" s="62"/>
      <c r="I181" s="35">
        <f>Fluxo_de_Caixa_Janeiro3459117[[#This Row],[JULHO]]</f>
        <v>0</v>
      </c>
      <c r="J181" s="62">
        <f>Fluxo_de_Caixa_Janeiro345911710[[#This Row],[AGOSTO]]</f>
        <v>0</v>
      </c>
      <c r="K181" s="62">
        <f>Fluxo_de_Caixa_Janeiro34591171012[[#This Row],[SETEMBRO]]</f>
        <v>0</v>
      </c>
      <c r="L181" s="62">
        <f>Fluxo_de_Caixa_Janeiro3459117101215[[#This Row],[OUTUBRO]]</f>
        <v>0</v>
      </c>
      <c r="M181" s="62">
        <f>Fluxo_de_Caixa_Janeiro345911710121516[[#This Row],[NOVEMBRO]]</f>
        <v>0</v>
      </c>
      <c r="N181" s="119">
        <f>Fluxo_de_Caixa_Janeiro34591171012151619[[#This Row],[DEZEMBRO]]</f>
        <v>0</v>
      </c>
      <c r="O181" s="224">
        <f>SUM(Fluxo_de_Caixa_Janeiro31020817[[#This Row],[Janeiro]:[Dezembro]])</f>
        <v>0</v>
      </c>
      <c r="P181" s="194" t="str">
        <f t="shared" si="9"/>
        <v>0,00%</v>
      </c>
      <c r="Q181" s="75"/>
      <c r="R181" s="32" t="str">
        <f>IF(Fluxo_de_Caixa_Janeiro31020817[[#This Row],[% ACUMULADO  2º SEMEST 2025]]&lt;=Fluxo_de_Caixa_Janeiro31020817[[#This Row],[Coluna1]],"VERDADEIRO","FALSO")</f>
        <v>FALSO</v>
      </c>
    </row>
    <row r="182" spans="2:18" ht="19.5" thickBot="1" x14ac:dyDescent="0.35">
      <c r="B182" s="277" t="str">
        <f>Fluxo_de_Caixa_Janeiro[[#This Row],[Fluxo de Caixa 2026 CTR]]</f>
        <v>3.6. DESPESAS FINANCEIRAS</v>
      </c>
      <c r="C182" s="158"/>
      <c r="D182" s="97"/>
      <c r="E182" s="97"/>
      <c r="F182" s="97"/>
      <c r="G182" s="97"/>
      <c r="H182" s="97"/>
      <c r="I182" s="158">
        <f>Fluxo_de_Caixa_Janeiro3459117[[#This Row],[JULHO]]</f>
        <v>0</v>
      </c>
      <c r="J182" s="97">
        <f>Fluxo_de_Caixa_Janeiro345911710[[#This Row],[AGOSTO]]</f>
        <v>0</v>
      </c>
      <c r="K182" s="97">
        <f>Fluxo_de_Caixa_Janeiro34591171012[[#This Row],[SETEMBRO]]</f>
        <v>0</v>
      </c>
      <c r="L182" s="97">
        <f>Fluxo_de_Caixa_Janeiro3459117101215[[#This Row],[OUTUBRO]]</f>
        <v>0</v>
      </c>
      <c r="M182" s="97">
        <f>Fluxo_de_Caixa_Janeiro345911710121516[[#This Row],[NOVEMBRO]]</f>
        <v>0</v>
      </c>
      <c r="N182" s="129">
        <f>Fluxo_de_Caixa_Janeiro34591171012151619[[#This Row],[DEZEMBRO]]</f>
        <v>0</v>
      </c>
      <c r="O182" s="226">
        <f>SUM(Fluxo_de_Caixa_Janeiro31020817[[#This Row],[Janeiro]:[Dezembro]])</f>
        <v>0</v>
      </c>
      <c r="P182" s="144">
        <f>-IFERROR(O182/$O$27,"0,00")</f>
        <v>0</v>
      </c>
      <c r="Q182" s="98"/>
      <c r="R182" s="32" t="str">
        <f>IF(Fluxo_de_Caixa_Janeiro31020817[[#This Row],[% ACUMULADO  2º SEMEST 2025]]&lt;=Fluxo_de_Caixa_Janeiro31020817[[#This Row],[Coluna1]],"VERDADEIRO","FALSO")</f>
        <v>VERDADEIRO</v>
      </c>
    </row>
    <row r="183" spans="2:18" x14ac:dyDescent="0.25">
      <c r="B183" s="386" t="str">
        <f>Fluxo_de_Caixa_Janeiro[[#This Row],[Fluxo de Caixa 2026 CTR]]</f>
        <v xml:space="preserve">3.6.01. Tarifas Bancárias </v>
      </c>
      <c r="C183" s="36"/>
      <c r="D183" s="82"/>
      <c r="E183" s="82"/>
      <c r="F183" s="82"/>
      <c r="G183" s="82"/>
      <c r="H183" s="82"/>
      <c r="I183" s="36">
        <f>Fluxo_de_Caixa_Janeiro3459117[[#This Row],[JULHO]]</f>
        <v>0</v>
      </c>
      <c r="J183" s="82">
        <f>Fluxo_de_Caixa_Janeiro345911710[[#This Row],[AGOSTO]]</f>
        <v>0</v>
      </c>
      <c r="K183" s="82">
        <f>Fluxo_de_Caixa_Janeiro34591171012[[#This Row],[SETEMBRO]]</f>
        <v>0</v>
      </c>
      <c r="L183" s="82">
        <f>Fluxo_de_Caixa_Janeiro3459117101215[[#This Row],[OUTUBRO]]</f>
        <v>0</v>
      </c>
      <c r="M183" s="82">
        <f>Fluxo_de_Caixa_Janeiro345911710121516[[#This Row],[NOVEMBRO]]</f>
        <v>0</v>
      </c>
      <c r="N183" s="120">
        <f>Fluxo_de_Caixa_Janeiro34591171012151619[[#This Row],[DEZEMBRO]]</f>
        <v>0</v>
      </c>
      <c r="O183" s="225">
        <f>SUM(Fluxo_de_Caixa_Janeiro31020817[[#This Row],[Janeiro]:[Dezembro]])</f>
        <v>0</v>
      </c>
      <c r="P183" s="195" t="str">
        <f t="shared" ref="P183:P199" si="10">IFERROR(O183/$O$27,"0,00%")</f>
        <v>0,00%</v>
      </c>
      <c r="Q183" s="96"/>
      <c r="R183" s="32" t="str">
        <f>IF(Fluxo_de_Caixa_Janeiro31020817[[#This Row],[% ACUMULADO  2º SEMEST 2025]]&lt;=Fluxo_de_Caixa_Janeiro31020817[[#This Row],[Coluna1]],"VERDADEIRO","FALSO")</f>
        <v>FALSO</v>
      </c>
    </row>
    <row r="184" spans="2:18" x14ac:dyDescent="0.25">
      <c r="B184" s="385" t="str">
        <f>Fluxo_de_Caixa_Janeiro[[#This Row],[Fluxo de Caixa 2026 CTR]]</f>
        <v>3.6.02. IOF</v>
      </c>
      <c r="C184" s="357"/>
      <c r="D184" s="306"/>
      <c r="E184" s="306"/>
      <c r="F184" s="306"/>
      <c r="G184" s="306"/>
      <c r="H184" s="306"/>
      <c r="I184" s="357">
        <f>Fluxo_de_Caixa_Janeiro3459117[[#This Row],[JULHO]]</f>
        <v>0</v>
      </c>
      <c r="J184" s="306">
        <f>Fluxo_de_Caixa_Janeiro345911710[[#This Row],[AGOSTO]]</f>
        <v>0</v>
      </c>
      <c r="K184" s="306">
        <f>Fluxo_de_Caixa_Janeiro34591171012[[#This Row],[SETEMBRO]]</f>
        <v>0</v>
      </c>
      <c r="L184" s="306">
        <f>Fluxo_de_Caixa_Janeiro3459117101215[[#This Row],[OUTUBRO]]</f>
        <v>0</v>
      </c>
      <c r="M184" s="306">
        <f>Fluxo_de_Caixa_Janeiro345911710121516[[#This Row],[NOVEMBRO]]</f>
        <v>0</v>
      </c>
      <c r="N184" s="306">
        <f>Fluxo_de_Caixa_Janeiro34591171012151619[[#This Row],[DEZEMBRO]]</f>
        <v>0</v>
      </c>
      <c r="O184" s="225">
        <f>SUM(Fluxo_de_Caixa_Janeiro31020817[[#This Row],[Janeiro]:[Dezembro]])</f>
        <v>0</v>
      </c>
      <c r="P184" s="195" t="str">
        <f t="shared" si="10"/>
        <v>0,00%</v>
      </c>
      <c r="Q184" s="96"/>
      <c r="R184" s="32"/>
    </row>
    <row r="185" spans="2:18" x14ac:dyDescent="0.25">
      <c r="B185" s="385" t="str">
        <f>Fluxo_de_Caixa_Janeiro[[#This Row],[Fluxo de Caixa 2026 CTR]]</f>
        <v>3.6.03. Perdas e Devedores Duvidosos</v>
      </c>
      <c r="C185" s="357"/>
      <c r="D185" s="306"/>
      <c r="E185" s="306"/>
      <c r="F185" s="306"/>
      <c r="G185" s="306"/>
      <c r="H185" s="306"/>
      <c r="I185" s="357">
        <f>Fluxo_de_Caixa_Janeiro3459117[[#This Row],[JULHO]]</f>
        <v>0</v>
      </c>
      <c r="J185" s="306">
        <f>Fluxo_de_Caixa_Janeiro345911710[[#This Row],[AGOSTO]]</f>
        <v>0</v>
      </c>
      <c r="K185" s="306">
        <f>Fluxo_de_Caixa_Janeiro34591171012[[#This Row],[SETEMBRO]]</f>
        <v>0</v>
      </c>
      <c r="L185" s="306">
        <f>Fluxo_de_Caixa_Janeiro3459117101215[[#This Row],[OUTUBRO]]</f>
        <v>0</v>
      </c>
      <c r="M185" s="306">
        <f>Fluxo_de_Caixa_Janeiro345911710121516[[#This Row],[NOVEMBRO]]</f>
        <v>0</v>
      </c>
      <c r="N185" s="306">
        <f>Fluxo_de_Caixa_Janeiro34591171012151619[[#This Row],[DEZEMBRO]]</f>
        <v>0</v>
      </c>
      <c r="O185" s="225">
        <f>SUM(Fluxo_de_Caixa_Janeiro31020817[[#This Row],[Janeiro]:[Dezembro]])</f>
        <v>0</v>
      </c>
      <c r="P185" s="195" t="str">
        <f t="shared" si="10"/>
        <v>0,00%</v>
      </c>
      <c r="Q185" s="96"/>
      <c r="R185" s="32"/>
    </row>
    <row r="186" spans="2:18" x14ac:dyDescent="0.25">
      <c r="B186" s="385">
        <f>Fluxo_de_Caixa_Janeiro[[#This Row],[Fluxo de Caixa 2026 CTR]]</f>
        <v>0</v>
      </c>
      <c r="C186" s="357"/>
      <c r="D186" s="306"/>
      <c r="E186" s="306"/>
      <c r="F186" s="306"/>
      <c r="G186" s="306"/>
      <c r="H186" s="306"/>
      <c r="I186" s="357">
        <f>Fluxo_de_Caixa_Janeiro3459117[[#This Row],[JULHO]]</f>
        <v>0</v>
      </c>
      <c r="J186" s="306">
        <f>Fluxo_de_Caixa_Janeiro345911710[[#This Row],[AGOSTO]]</f>
        <v>0</v>
      </c>
      <c r="K186" s="306">
        <f>Fluxo_de_Caixa_Janeiro34591171012[[#This Row],[SETEMBRO]]</f>
        <v>0</v>
      </c>
      <c r="L186" s="306">
        <f>Fluxo_de_Caixa_Janeiro3459117101215[[#This Row],[OUTUBRO]]</f>
        <v>0</v>
      </c>
      <c r="M186" s="306">
        <f>Fluxo_de_Caixa_Janeiro345911710121516[[#This Row],[NOVEMBRO]]</f>
        <v>0</v>
      </c>
      <c r="N186" s="306">
        <f>Fluxo_de_Caixa_Janeiro34591171012151619[[#This Row],[DEZEMBRO]]</f>
        <v>0</v>
      </c>
      <c r="O186" s="225">
        <f>SUM(Fluxo_de_Caixa_Janeiro31020817[[#This Row],[Janeiro]:[Dezembro]])</f>
        <v>0</v>
      </c>
      <c r="P186" s="195" t="str">
        <f t="shared" si="10"/>
        <v>0,00%</v>
      </c>
      <c r="Q186" s="96"/>
      <c r="R186" s="32"/>
    </row>
    <row r="187" spans="2:18" x14ac:dyDescent="0.25">
      <c r="B187" s="385" t="str">
        <f>Fluxo_de_Caixa_Janeiro[[#This Row],[Fluxo de Caixa 2026 CTR]]</f>
        <v>3.6.05.MULTA E JUROS DE MORA PAGAMENTO</v>
      </c>
      <c r="C187" s="357"/>
      <c r="D187" s="306"/>
      <c r="E187" s="306"/>
      <c r="F187" s="306"/>
      <c r="G187" s="306"/>
      <c r="H187" s="306"/>
      <c r="I187" s="357">
        <f>Fluxo_de_Caixa_Janeiro3459117[[#This Row],[JULHO]]</f>
        <v>0</v>
      </c>
      <c r="J187" s="306">
        <f>Fluxo_de_Caixa_Janeiro345911710[[#This Row],[AGOSTO]]</f>
        <v>0</v>
      </c>
      <c r="K187" s="306">
        <f>Fluxo_de_Caixa_Janeiro34591171012[[#This Row],[SETEMBRO]]</f>
        <v>0</v>
      </c>
      <c r="L187" s="306">
        <f>Fluxo_de_Caixa_Janeiro3459117101215[[#This Row],[OUTUBRO]]</f>
        <v>0</v>
      </c>
      <c r="M187" s="306">
        <f>Fluxo_de_Caixa_Janeiro345911710121516[[#This Row],[NOVEMBRO]]</f>
        <v>0</v>
      </c>
      <c r="N187" s="306">
        <f>Fluxo_de_Caixa_Janeiro34591171012151619[[#This Row],[DEZEMBRO]]</f>
        <v>0</v>
      </c>
      <c r="O187" s="225">
        <f>SUM(Fluxo_de_Caixa_Janeiro31020817[[#This Row],[Janeiro]:[Dezembro]])</f>
        <v>0</v>
      </c>
      <c r="P187" s="195" t="str">
        <f t="shared" si="10"/>
        <v>0,00%</v>
      </c>
      <c r="Q187" s="96"/>
      <c r="R187" s="32"/>
    </row>
    <row r="188" spans="2:18" x14ac:dyDescent="0.25">
      <c r="B188" s="385">
        <f>Fluxo_de_Caixa_Janeiro[[#This Row],[Fluxo de Caixa 2026 CTR]]</f>
        <v>0</v>
      </c>
      <c r="C188" s="357"/>
      <c r="D188" s="306"/>
      <c r="E188" s="306"/>
      <c r="F188" s="306"/>
      <c r="G188" s="306"/>
      <c r="H188" s="306"/>
      <c r="I188" s="357">
        <f>Fluxo_de_Caixa_Janeiro3459117[[#This Row],[JULHO]]</f>
        <v>0</v>
      </c>
      <c r="J188" s="306">
        <f>Fluxo_de_Caixa_Janeiro345911710[[#This Row],[AGOSTO]]</f>
        <v>0</v>
      </c>
      <c r="K188" s="306">
        <f>Fluxo_de_Caixa_Janeiro34591171012[[#This Row],[SETEMBRO]]</f>
        <v>0</v>
      </c>
      <c r="L188" s="306">
        <f>Fluxo_de_Caixa_Janeiro3459117101215[[#This Row],[OUTUBRO]]</f>
        <v>0</v>
      </c>
      <c r="M188" s="306">
        <f>Fluxo_de_Caixa_Janeiro345911710121516[[#This Row],[NOVEMBRO]]</f>
        <v>0</v>
      </c>
      <c r="N188" s="306">
        <f>Fluxo_de_Caixa_Janeiro34591171012151619[[#This Row],[DEZEMBRO]]</f>
        <v>0</v>
      </c>
      <c r="O188" s="225">
        <f>SUM(Fluxo_de_Caixa_Janeiro31020817[[#This Row],[Janeiro]:[Dezembro]])</f>
        <v>0</v>
      </c>
      <c r="P188" s="195" t="str">
        <f t="shared" si="10"/>
        <v>0,00%</v>
      </c>
      <c r="Q188" s="96"/>
      <c r="R188" s="32"/>
    </row>
    <row r="189" spans="2:18" x14ac:dyDescent="0.25">
      <c r="B189" s="385" t="str">
        <f>Fluxo_de_Caixa_Janeiro[[#This Row],[Fluxo de Caixa 2026 CTR]]</f>
        <v>3.6.07.FALTA ACERTO CAIXA</v>
      </c>
      <c r="C189" s="357"/>
      <c r="D189" s="306"/>
      <c r="E189" s="306"/>
      <c r="F189" s="306"/>
      <c r="G189" s="306"/>
      <c r="H189" s="306"/>
      <c r="I189" s="357">
        <f>Fluxo_de_Caixa_Janeiro3459117[[#This Row],[JULHO]]</f>
        <v>0</v>
      </c>
      <c r="J189" s="306">
        <f>Fluxo_de_Caixa_Janeiro345911710[[#This Row],[AGOSTO]]</f>
        <v>0</v>
      </c>
      <c r="K189" s="306">
        <f>Fluxo_de_Caixa_Janeiro34591171012[[#This Row],[SETEMBRO]]</f>
        <v>0</v>
      </c>
      <c r="L189" s="306">
        <f>Fluxo_de_Caixa_Janeiro3459117101215[[#This Row],[OUTUBRO]]</f>
        <v>0</v>
      </c>
      <c r="M189" s="306">
        <f>Fluxo_de_Caixa_Janeiro345911710121516[[#This Row],[NOVEMBRO]]</f>
        <v>0</v>
      </c>
      <c r="N189" s="306">
        <f>Fluxo_de_Caixa_Janeiro34591171012151619[[#This Row],[DEZEMBRO]]</f>
        <v>0</v>
      </c>
      <c r="O189" s="225">
        <f>SUM(Fluxo_de_Caixa_Janeiro31020817[[#This Row],[Janeiro]:[Dezembro]])</f>
        <v>0</v>
      </c>
      <c r="P189" s="195" t="str">
        <f t="shared" si="10"/>
        <v>0,00%</v>
      </c>
      <c r="Q189" s="96"/>
      <c r="R189" s="32"/>
    </row>
    <row r="190" spans="2:18" x14ac:dyDescent="0.25">
      <c r="B190" s="385" t="str">
        <f>Fluxo_de_Caixa_Janeiro[[#This Row],[Fluxo de Caixa 2026 CTR]]</f>
        <v>3.6.08. Juros Sobre Emprestimos</v>
      </c>
      <c r="C190" s="357"/>
      <c r="D190" s="306"/>
      <c r="E190" s="306"/>
      <c r="F190" s="306"/>
      <c r="G190" s="306"/>
      <c r="H190" s="306"/>
      <c r="I190" s="357">
        <f>Fluxo_de_Caixa_Janeiro3459117[[#This Row],[JULHO]]</f>
        <v>0</v>
      </c>
      <c r="J190" s="306">
        <f>Fluxo_de_Caixa_Janeiro345911710[[#This Row],[AGOSTO]]</f>
        <v>0</v>
      </c>
      <c r="K190" s="306">
        <f>Fluxo_de_Caixa_Janeiro34591171012[[#This Row],[SETEMBRO]]</f>
        <v>0</v>
      </c>
      <c r="L190" s="306">
        <f>Fluxo_de_Caixa_Janeiro3459117101215[[#This Row],[OUTUBRO]]</f>
        <v>0</v>
      </c>
      <c r="M190" s="306">
        <f>Fluxo_de_Caixa_Janeiro345911710121516[[#This Row],[NOVEMBRO]]</f>
        <v>0</v>
      </c>
      <c r="N190" s="306">
        <f>Fluxo_de_Caixa_Janeiro34591171012151619[[#This Row],[DEZEMBRO]]</f>
        <v>0</v>
      </c>
      <c r="O190" s="225">
        <f>SUM(Fluxo_de_Caixa_Janeiro31020817[[#This Row],[Janeiro]:[Dezembro]])</f>
        <v>0</v>
      </c>
      <c r="P190" s="195" t="str">
        <f t="shared" si="10"/>
        <v>0,00%</v>
      </c>
      <c r="Q190" s="96"/>
      <c r="R190" s="32"/>
    </row>
    <row r="191" spans="2:18" x14ac:dyDescent="0.25">
      <c r="B191" s="385" t="str">
        <f>Fluxo_de_Caixa_Janeiro[[#This Row],[Fluxo de Caixa 2026 CTR]]</f>
        <v>3.6.09.RECUPERACAO DE CRED DEVEDOR DUV</v>
      </c>
      <c r="C191" s="357"/>
      <c r="D191" s="306"/>
      <c r="E191" s="306"/>
      <c r="F191" s="306"/>
      <c r="G191" s="306"/>
      <c r="H191" s="306"/>
      <c r="I191" s="357">
        <f>Fluxo_de_Caixa_Janeiro3459117[[#This Row],[JULHO]]</f>
        <v>0</v>
      </c>
      <c r="J191" s="306">
        <f>Fluxo_de_Caixa_Janeiro345911710[[#This Row],[AGOSTO]]</f>
        <v>0</v>
      </c>
      <c r="K191" s="306">
        <f>Fluxo_de_Caixa_Janeiro34591171012[[#This Row],[SETEMBRO]]</f>
        <v>0</v>
      </c>
      <c r="L191" s="306">
        <f>Fluxo_de_Caixa_Janeiro3459117101215[[#This Row],[OUTUBRO]]</f>
        <v>0</v>
      </c>
      <c r="M191" s="306">
        <f>Fluxo_de_Caixa_Janeiro345911710121516[[#This Row],[NOVEMBRO]]</f>
        <v>0</v>
      </c>
      <c r="N191" s="306">
        <f>Fluxo_de_Caixa_Janeiro34591171012151619[[#This Row],[DEZEMBRO]]</f>
        <v>0</v>
      </c>
      <c r="O191" s="225">
        <f>SUM(Fluxo_de_Caixa_Janeiro31020817[[#This Row],[Janeiro]:[Dezembro]])</f>
        <v>0</v>
      </c>
      <c r="P191" s="195" t="str">
        <f t="shared" si="10"/>
        <v>0,00%</v>
      </c>
      <c r="Q191" s="96"/>
      <c r="R191" s="32"/>
    </row>
    <row r="192" spans="2:18" x14ac:dyDescent="0.25">
      <c r="B192" s="385" t="str">
        <f>Fluxo_de_Caixa_Janeiro[[#This Row],[Fluxo de Caixa 2026 CTR]]</f>
        <v>3.6.10.DESCONTOS OBTIDOS</v>
      </c>
      <c r="C192" s="357"/>
      <c r="D192" s="306"/>
      <c r="E192" s="306"/>
      <c r="F192" s="306"/>
      <c r="G192" s="306"/>
      <c r="H192" s="306"/>
      <c r="I192" s="357">
        <f>Fluxo_de_Caixa_Janeiro3459117[[#This Row],[JULHO]]</f>
        <v>0</v>
      </c>
      <c r="J192" s="306">
        <f>Fluxo_de_Caixa_Janeiro345911710[[#This Row],[AGOSTO]]</f>
        <v>0</v>
      </c>
      <c r="K192" s="306">
        <f>Fluxo_de_Caixa_Janeiro34591171012[[#This Row],[SETEMBRO]]</f>
        <v>0</v>
      </c>
      <c r="L192" s="306">
        <f>Fluxo_de_Caixa_Janeiro3459117101215[[#This Row],[OUTUBRO]]</f>
        <v>0</v>
      </c>
      <c r="M192" s="306">
        <f>Fluxo_de_Caixa_Janeiro345911710121516[[#This Row],[NOVEMBRO]]</f>
        <v>0</v>
      </c>
      <c r="N192" s="306">
        <f>Fluxo_de_Caixa_Janeiro34591171012151619[[#This Row],[DEZEMBRO]]</f>
        <v>0</v>
      </c>
      <c r="O192" s="225">
        <f>SUM(Fluxo_de_Caixa_Janeiro31020817[[#This Row],[Janeiro]:[Dezembro]])</f>
        <v>0</v>
      </c>
      <c r="P192" s="195" t="str">
        <f t="shared" si="10"/>
        <v>0,00%</v>
      </c>
      <c r="Q192" s="96"/>
      <c r="R192" s="32"/>
    </row>
    <row r="193" spans="2:18" x14ac:dyDescent="0.25">
      <c r="B193" s="385">
        <f>Fluxo_de_Caixa_Janeiro[[#This Row],[Fluxo de Caixa 2026 CTR]]</f>
        <v>0</v>
      </c>
      <c r="C193" s="357"/>
      <c r="D193" s="306"/>
      <c r="E193" s="306"/>
      <c r="F193" s="306"/>
      <c r="G193" s="306"/>
      <c r="H193" s="306"/>
      <c r="I193" s="357">
        <f>Fluxo_de_Caixa_Janeiro3459117[[#This Row],[JULHO]]</f>
        <v>0</v>
      </c>
      <c r="J193" s="306">
        <f>Fluxo_de_Caixa_Janeiro345911710[[#This Row],[AGOSTO]]</f>
        <v>0</v>
      </c>
      <c r="K193" s="306">
        <f>Fluxo_de_Caixa_Janeiro34591171012[[#This Row],[SETEMBRO]]</f>
        <v>0</v>
      </c>
      <c r="L193" s="306">
        <f>Fluxo_de_Caixa_Janeiro3459117101215[[#This Row],[OUTUBRO]]</f>
        <v>0</v>
      </c>
      <c r="M193" s="306">
        <f>Fluxo_de_Caixa_Janeiro345911710121516[[#This Row],[NOVEMBRO]]</f>
        <v>0</v>
      </c>
      <c r="N193" s="306">
        <f>Fluxo_de_Caixa_Janeiro34591171012151619[[#This Row],[DEZEMBRO]]</f>
        <v>0</v>
      </c>
      <c r="O193" s="224">
        <f>SUM(Fluxo_de_Caixa_Janeiro31020817[[#This Row],[Janeiro]:[Dezembro]])</f>
        <v>0</v>
      </c>
      <c r="P193" s="194" t="str">
        <f t="shared" si="10"/>
        <v>0,00%</v>
      </c>
      <c r="Q193" s="75"/>
      <c r="R193" s="32"/>
    </row>
    <row r="194" spans="2:18" x14ac:dyDescent="0.25">
      <c r="B194" s="169" t="str">
        <f>Fluxo_de_Caixa_Janeiro[[#This Row],[Fluxo de Caixa 2026 CTR]]</f>
        <v>3.6.12.JUROS DESCONTO DE BOLETOS</v>
      </c>
      <c r="C194" s="41"/>
      <c r="D194" s="81"/>
      <c r="E194" s="81"/>
      <c r="F194" s="81"/>
      <c r="G194" s="81"/>
      <c r="H194" s="81"/>
      <c r="I194" s="41">
        <f>Fluxo_de_Caixa_Janeiro3459117[[#This Row],[JULHO]]</f>
        <v>0</v>
      </c>
      <c r="J194" s="81">
        <f>Fluxo_de_Caixa_Janeiro345911710[[#This Row],[AGOSTO]]</f>
        <v>0</v>
      </c>
      <c r="K194" s="81">
        <f>Fluxo_de_Caixa_Janeiro34591171012[[#This Row],[SETEMBRO]]</f>
        <v>0</v>
      </c>
      <c r="L194" s="81">
        <f>Fluxo_de_Caixa_Janeiro3459117101215[[#This Row],[OUTUBRO]]</f>
        <v>0</v>
      </c>
      <c r="M194" s="81">
        <f>Fluxo_de_Caixa_Janeiro345911710121516[[#This Row],[NOVEMBRO]]</f>
        <v>0</v>
      </c>
      <c r="N194" s="118">
        <f>Fluxo_de_Caixa_Janeiro34591171012151619[[#This Row],[DEZEMBRO]]</f>
        <v>0</v>
      </c>
      <c r="O194" s="223">
        <f>SUM(Fluxo_de_Caixa_Janeiro31020817[[#This Row],[Janeiro]:[Dezembro]])</f>
        <v>0</v>
      </c>
      <c r="P194" s="193" t="str">
        <f t="shared" si="10"/>
        <v>0,00%</v>
      </c>
      <c r="Q194" s="93"/>
      <c r="R194" s="32" t="str">
        <f>IF(Fluxo_de_Caixa_Janeiro31020817[[#This Row],[% ACUMULADO  2º SEMEST 2025]]&lt;=Fluxo_de_Caixa_Janeiro31020817[[#This Row],[Coluna1]],"VERDADEIRO","FALSO")</f>
        <v>FALSO</v>
      </c>
    </row>
    <row r="195" spans="2:18" x14ac:dyDescent="0.25">
      <c r="B195" s="55">
        <f>Fluxo_de_Caixa_Janeiro[[#This Row],[Fluxo de Caixa 2026 CTR]]</f>
        <v>0</v>
      </c>
      <c r="C195" s="35"/>
      <c r="D195" s="62"/>
      <c r="E195" s="62"/>
      <c r="F195" s="62"/>
      <c r="G195" s="62"/>
      <c r="H195" s="62"/>
      <c r="I195" s="35">
        <f>Fluxo_de_Caixa_Janeiro3459117[[#This Row],[JULHO]]</f>
        <v>0</v>
      </c>
      <c r="J195" s="62">
        <f>Fluxo_de_Caixa_Janeiro345911710[[#This Row],[AGOSTO]]</f>
        <v>0</v>
      </c>
      <c r="K195" s="62">
        <f>Fluxo_de_Caixa_Janeiro34591171012[[#This Row],[SETEMBRO]]</f>
        <v>0</v>
      </c>
      <c r="L195" s="62">
        <f>Fluxo_de_Caixa_Janeiro3459117101215[[#This Row],[OUTUBRO]]</f>
        <v>0</v>
      </c>
      <c r="M195" s="62">
        <f>Fluxo_de_Caixa_Janeiro345911710121516[[#This Row],[NOVEMBRO]]</f>
        <v>0</v>
      </c>
      <c r="N195" s="119">
        <f>Fluxo_de_Caixa_Janeiro34591171012151619[[#This Row],[DEZEMBRO]]</f>
        <v>0</v>
      </c>
      <c r="O195" s="224">
        <f>SUM(Fluxo_de_Caixa_Janeiro31020817[[#This Row],[Janeiro]:[Dezembro]])</f>
        <v>0</v>
      </c>
      <c r="P195" s="194" t="str">
        <f t="shared" si="10"/>
        <v>0,00%</v>
      </c>
      <c r="Q195" s="75"/>
      <c r="R195" s="32" t="str">
        <f>IF(Fluxo_de_Caixa_Janeiro31020817[[#This Row],[% ACUMULADO  2º SEMEST 2025]]&lt;=Fluxo_de_Caixa_Janeiro31020817[[#This Row],[Coluna1]],"VERDADEIRO","FALSO")</f>
        <v>FALSO</v>
      </c>
    </row>
    <row r="196" spans="2:18" x14ac:dyDescent="0.25">
      <c r="B196" s="55" t="str">
        <f>Fluxo_de_Caixa_Janeiro[[#This Row],[Fluxo de Caixa 2026 CTR]]</f>
        <v>3.6.14. JUROS ANTEC. CARTÕES CRED/DEBITO</v>
      </c>
      <c r="C196" s="35"/>
      <c r="D196" s="62"/>
      <c r="E196" s="62"/>
      <c r="F196" s="62"/>
      <c r="G196" s="62"/>
      <c r="H196" s="62"/>
      <c r="I196" s="35">
        <f>Fluxo_de_Caixa_Janeiro3459117[[#This Row],[JULHO]]</f>
        <v>0</v>
      </c>
      <c r="J196" s="62">
        <f>Fluxo_de_Caixa_Janeiro345911710[[#This Row],[AGOSTO]]</f>
        <v>0</v>
      </c>
      <c r="K196" s="62">
        <f>Fluxo_de_Caixa_Janeiro34591171012[[#This Row],[SETEMBRO]]</f>
        <v>0</v>
      </c>
      <c r="L196" s="62">
        <f>Fluxo_de_Caixa_Janeiro3459117101215[[#This Row],[OUTUBRO]]</f>
        <v>0</v>
      </c>
      <c r="M196" s="62">
        <f>Fluxo_de_Caixa_Janeiro345911710121516[[#This Row],[NOVEMBRO]]</f>
        <v>0</v>
      </c>
      <c r="N196" s="119">
        <f>Fluxo_de_Caixa_Janeiro34591171012151619[[#This Row],[DEZEMBRO]]</f>
        <v>0</v>
      </c>
      <c r="O196" s="224">
        <f>SUM(Fluxo_de_Caixa_Janeiro31020817[[#This Row],[Janeiro]:[Dezembro]])</f>
        <v>0</v>
      </c>
      <c r="P196" s="194" t="str">
        <f t="shared" si="10"/>
        <v>0,00%</v>
      </c>
      <c r="Q196" s="75"/>
      <c r="R196" s="32" t="str">
        <f>IF(Fluxo_de_Caixa_Janeiro31020817[[#This Row],[% ACUMULADO  2º SEMEST 2025]]&lt;=Fluxo_de_Caixa_Janeiro31020817[[#This Row],[Coluna1]],"VERDADEIRO","FALSO")</f>
        <v>FALSO</v>
      </c>
    </row>
    <row r="197" spans="2:18" x14ac:dyDescent="0.25">
      <c r="B197" s="55" t="str">
        <f>Fluxo_de_Caixa_Janeiro[[#This Row],[Fluxo de Caixa 2026 CTR]]</f>
        <v>3.6.15. IRRF Sobre Aplicação Financeira</v>
      </c>
      <c r="C197" s="35"/>
      <c r="D197" s="62"/>
      <c r="E197" s="62"/>
      <c r="F197" s="62"/>
      <c r="G197" s="62"/>
      <c r="H197" s="62"/>
      <c r="I197" s="35">
        <f>Fluxo_de_Caixa_Janeiro3459117[[#This Row],[JULHO]]</f>
        <v>0</v>
      </c>
      <c r="J197" s="62">
        <f>Fluxo_de_Caixa_Janeiro345911710[[#This Row],[AGOSTO]]</f>
        <v>0</v>
      </c>
      <c r="K197" s="62">
        <f>Fluxo_de_Caixa_Janeiro34591171012[[#This Row],[SETEMBRO]]</f>
        <v>0</v>
      </c>
      <c r="L197" s="62">
        <f>Fluxo_de_Caixa_Janeiro3459117101215[[#This Row],[OUTUBRO]]</f>
        <v>0</v>
      </c>
      <c r="M197" s="62">
        <f>Fluxo_de_Caixa_Janeiro345911710121516[[#This Row],[NOVEMBRO]]</f>
        <v>0</v>
      </c>
      <c r="N197" s="119">
        <f>Fluxo_de_Caixa_Janeiro34591171012151619[[#This Row],[DEZEMBRO]]</f>
        <v>0</v>
      </c>
      <c r="O197" s="224">
        <f>SUM(Fluxo_de_Caixa_Janeiro31020817[[#This Row],[Janeiro]:[Dezembro]])</f>
        <v>0</v>
      </c>
      <c r="P197" s="194" t="str">
        <f t="shared" si="10"/>
        <v>0,00%</v>
      </c>
      <c r="Q197" s="75"/>
      <c r="R197" s="32" t="str">
        <f>IF(Fluxo_de_Caixa_Janeiro31020817[[#This Row],[% ACUMULADO  2º SEMEST 2025]]&lt;=Fluxo_de_Caixa_Janeiro31020817[[#This Row],[Coluna1]],"VERDADEIRO","FALSO")</f>
        <v>FALSO</v>
      </c>
    </row>
    <row r="198" spans="2:18" x14ac:dyDescent="0.25">
      <c r="B198" s="55" t="str">
        <f>Fluxo_de_Caixa_Janeiro[[#This Row],[Fluxo de Caixa 2026 CTR]]</f>
        <v>3.6.16.DESCONTOS FINANCEIROS</v>
      </c>
      <c r="C198" s="35"/>
      <c r="D198" s="62"/>
      <c r="E198" s="62"/>
      <c r="F198" s="62"/>
      <c r="G198" s="62"/>
      <c r="H198" s="62"/>
      <c r="I198" s="35">
        <f>Fluxo_de_Caixa_Janeiro3459117[[#This Row],[JULHO]]</f>
        <v>0</v>
      </c>
      <c r="J198" s="62">
        <f>Fluxo_de_Caixa_Janeiro345911710[[#This Row],[AGOSTO]]</f>
        <v>0</v>
      </c>
      <c r="K198" s="62">
        <f>Fluxo_de_Caixa_Janeiro34591171012[[#This Row],[SETEMBRO]]</f>
        <v>0</v>
      </c>
      <c r="L198" s="62">
        <f>Fluxo_de_Caixa_Janeiro3459117101215[[#This Row],[OUTUBRO]]</f>
        <v>0</v>
      </c>
      <c r="M198" s="62">
        <f>Fluxo_de_Caixa_Janeiro345911710121516[[#This Row],[NOVEMBRO]]</f>
        <v>0</v>
      </c>
      <c r="N198" s="119">
        <f>Fluxo_de_Caixa_Janeiro34591171012151619[[#This Row],[DEZEMBRO]]</f>
        <v>0</v>
      </c>
      <c r="O198" s="224">
        <f>SUM(Fluxo_de_Caixa_Janeiro31020817[[#This Row],[Janeiro]:[Dezembro]])</f>
        <v>0</v>
      </c>
      <c r="P198" s="194" t="str">
        <f t="shared" si="10"/>
        <v>0,00%</v>
      </c>
      <c r="Q198" s="75"/>
      <c r="R198" s="32" t="str">
        <f>IF(Fluxo_de_Caixa_Janeiro31020817[[#This Row],[% ACUMULADO  2º SEMEST 2025]]&lt;=Fluxo_de_Caixa_Janeiro31020817[[#This Row],[Coluna1]],"VERDADEIRO","FALSO")</f>
        <v>FALSO</v>
      </c>
    </row>
    <row r="199" spans="2:18" ht="15.75" thickBot="1" x14ac:dyDescent="0.3">
      <c r="B199" s="387" t="str">
        <f>Fluxo_de_Caixa_Janeiro[[#This Row],[Fluxo de Caixa 2026 CTR]]</f>
        <v>3.6.17.JUROS DESCONTO DE BOLETOS</v>
      </c>
      <c r="C199" s="36"/>
      <c r="D199" s="82"/>
      <c r="E199" s="82"/>
      <c r="F199" s="82"/>
      <c r="G199" s="82"/>
      <c r="H199" s="82"/>
      <c r="I199" s="36">
        <f>Fluxo_de_Caixa_Janeiro3459117[[#This Row],[JULHO]]</f>
        <v>0</v>
      </c>
      <c r="J199" s="82">
        <f>Fluxo_de_Caixa_Janeiro345911710[[#This Row],[AGOSTO]]</f>
        <v>0</v>
      </c>
      <c r="K199" s="82">
        <f>Fluxo_de_Caixa_Janeiro34591171012[[#This Row],[SETEMBRO]]</f>
        <v>0</v>
      </c>
      <c r="L199" s="82">
        <f>Fluxo_de_Caixa_Janeiro3459117101215[[#This Row],[OUTUBRO]]</f>
        <v>0</v>
      </c>
      <c r="M199" s="82">
        <f>Fluxo_de_Caixa_Janeiro345911710121516[[#This Row],[NOVEMBRO]]</f>
        <v>0</v>
      </c>
      <c r="N199" s="120">
        <f>Fluxo_de_Caixa_Janeiro34591171012151619[[#This Row],[DEZEMBRO]]</f>
        <v>0</v>
      </c>
      <c r="O199" s="225">
        <f>SUM(Fluxo_de_Caixa_Janeiro31020817[[#This Row],[Janeiro]:[Dezembro]])</f>
        <v>0</v>
      </c>
      <c r="P199" s="195" t="str">
        <f t="shared" si="10"/>
        <v>0,00%</v>
      </c>
      <c r="Q199" s="96"/>
      <c r="R199" s="32" t="str">
        <f>IF(Fluxo_de_Caixa_Janeiro31020817[[#This Row],[% ACUMULADO  2º SEMEST 2025]]&lt;=Fluxo_de_Caixa_Janeiro31020817[[#This Row],[Coluna1]],"VERDADEIRO","FALSO")</f>
        <v>FALSO</v>
      </c>
    </row>
    <row r="200" spans="2:18" ht="19.5" thickBot="1" x14ac:dyDescent="0.35">
      <c r="B200" s="277" t="str">
        <f>Fluxo_de_Caixa_Janeiro[[#This Row],[Fluxo de Caixa 2026 CTR]]</f>
        <v>3.7. DESPESAS COM VEICULOS</v>
      </c>
      <c r="C200" s="158"/>
      <c r="D200" s="97"/>
      <c r="E200" s="97"/>
      <c r="F200" s="97"/>
      <c r="G200" s="97"/>
      <c r="H200" s="97"/>
      <c r="I200" s="158">
        <f>Fluxo_de_Caixa_Janeiro3459117[[#This Row],[JULHO]]</f>
        <v>0</v>
      </c>
      <c r="J200" s="97">
        <f>Fluxo_de_Caixa_Janeiro345911710[[#This Row],[AGOSTO]]</f>
        <v>0</v>
      </c>
      <c r="K200" s="97">
        <f>Fluxo_de_Caixa_Janeiro34591171012[[#This Row],[SETEMBRO]]</f>
        <v>0</v>
      </c>
      <c r="L200" s="97">
        <f>Fluxo_de_Caixa_Janeiro3459117101215[[#This Row],[OUTUBRO]]</f>
        <v>0</v>
      </c>
      <c r="M200" s="97">
        <f>Fluxo_de_Caixa_Janeiro345911710121516[[#This Row],[NOVEMBRO]]</f>
        <v>0</v>
      </c>
      <c r="N200" s="129">
        <f>Fluxo_de_Caixa_Janeiro34591171012151619[[#This Row],[DEZEMBRO]]</f>
        <v>0</v>
      </c>
      <c r="O200" s="226">
        <f>SUM(Fluxo_de_Caixa_Janeiro31020817[[#This Row],[Janeiro]:[Dezembro]])</f>
        <v>0</v>
      </c>
      <c r="P200" s="144">
        <f>-IFERROR(C200/$C$27,"0,00")</f>
        <v>0</v>
      </c>
      <c r="Q200" s="98"/>
      <c r="R200" s="32" t="str">
        <f>IF(Fluxo_de_Caixa_Janeiro31020817[[#This Row],[% ACUMULADO  2º SEMEST 2025]]&lt;=Fluxo_de_Caixa_Janeiro31020817[[#This Row],[Coluna1]],"VERDADEIRO","FALSO")</f>
        <v>VERDADEIRO</v>
      </c>
    </row>
    <row r="201" spans="2:18" x14ac:dyDescent="0.25">
      <c r="B201" s="388" t="str">
        <f>Fluxo_de_Caixa_Janeiro[[#This Row],[Fluxo de Caixa 2026 CTR]]</f>
        <v>3.7.01. Combustível e Lubrificantes</v>
      </c>
      <c r="C201" s="41"/>
      <c r="D201" s="81"/>
      <c r="E201" s="81"/>
      <c r="F201" s="81"/>
      <c r="G201" s="81"/>
      <c r="H201" s="81"/>
      <c r="I201" s="41">
        <f>Fluxo_de_Caixa_Janeiro3459117[[#This Row],[JULHO]]</f>
        <v>0</v>
      </c>
      <c r="J201" s="81">
        <f>Fluxo_de_Caixa_Janeiro345911710[[#This Row],[AGOSTO]]</f>
        <v>0</v>
      </c>
      <c r="K201" s="81">
        <f>Fluxo_de_Caixa_Janeiro34591171012[[#This Row],[SETEMBRO]]</f>
        <v>0</v>
      </c>
      <c r="L201" s="81">
        <f>Fluxo_de_Caixa_Janeiro3459117101215[[#This Row],[OUTUBRO]]</f>
        <v>0</v>
      </c>
      <c r="M201" s="81">
        <f>Fluxo_de_Caixa_Janeiro345911710121516[[#This Row],[NOVEMBRO]]</f>
        <v>0</v>
      </c>
      <c r="N201" s="118">
        <f>Fluxo_de_Caixa_Janeiro34591171012151619[[#This Row],[DEZEMBRO]]</f>
        <v>0</v>
      </c>
      <c r="O201" s="223">
        <f>SUM(Fluxo_de_Caixa_Janeiro31020817[[#This Row],[Janeiro]:[Dezembro]])</f>
        <v>0</v>
      </c>
      <c r="P201" s="193" t="str">
        <f t="shared" ref="P201:P211" si="11">IFERROR(O201/$O$27,"0,00%")</f>
        <v>0,00%</v>
      </c>
      <c r="Q201" s="93"/>
      <c r="R201" s="32" t="str">
        <f>IF(Fluxo_de_Caixa_Janeiro31020817[[#This Row],[% ACUMULADO  2º SEMEST 2025]]&lt;=Fluxo_de_Caixa_Janeiro31020817[[#This Row],[Coluna1]],"VERDADEIRO","FALSO")</f>
        <v>FALSO</v>
      </c>
    </row>
    <row r="202" spans="2:18" x14ac:dyDescent="0.25">
      <c r="B202" s="378" t="str">
        <f>Fluxo_de_Caixa_Janeiro[[#This Row],[Fluxo de Caixa 2026 CTR]]</f>
        <v xml:space="preserve">3.7.02. Manutenção Veicular </v>
      </c>
      <c r="C202" s="357"/>
      <c r="D202" s="306"/>
      <c r="E202" s="306"/>
      <c r="F202" s="306"/>
      <c r="G202" s="306"/>
      <c r="H202" s="306"/>
      <c r="I202" s="357">
        <f>Fluxo_de_Caixa_Janeiro3459117[[#This Row],[JULHO]]</f>
        <v>0</v>
      </c>
      <c r="J202" s="306">
        <f>Fluxo_de_Caixa_Janeiro345911710[[#This Row],[AGOSTO]]</f>
        <v>0</v>
      </c>
      <c r="K202" s="306">
        <f>Fluxo_de_Caixa_Janeiro34591171012[[#This Row],[SETEMBRO]]</f>
        <v>0</v>
      </c>
      <c r="L202" s="306">
        <f>Fluxo_de_Caixa_Janeiro3459117101215[[#This Row],[OUTUBRO]]</f>
        <v>0</v>
      </c>
      <c r="M202" s="306">
        <f>Fluxo_de_Caixa_Janeiro345911710121516[[#This Row],[NOVEMBRO]]</f>
        <v>0</v>
      </c>
      <c r="N202" s="360">
        <f>Fluxo_de_Caixa_Janeiro34591171012151619[[#This Row],[DEZEMBRO]]</f>
        <v>0</v>
      </c>
      <c r="O202" s="223">
        <f>SUM(Fluxo_de_Caixa_Janeiro31020817[[#This Row],[Janeiro]:[Dezembro]])</f>
        <v>0</v>
      </c>
      <c r="P202" s="193" t="str">
        <f t="shared" si="11"/>
        <v>0,00%</v>
      </c>
      <c r="Q202" s="93"/>
      <c r="R202" s="32"/>
    </row>
    <row r="203" spans="2:18" x14ac:dyDescent="0.25">
      <c r="B203" s="378" t="str">
        <f>Fluxo_de_Caixa_Janeiro[[#This Row],[Fluxo de Caixa 2026 CTR]]</f>
        <v xml:space="preserve">3.7.03. IPVA e outras taxas </v>
      </c>
      <c r="C203" s="369"/>
      <c r="D203" s="370"/>
      <c r="E203" s="370"/>
      <c r="F203" s="370"/>
      <c r="G203" s="370"/>
      <c r="H203" s="370"/>
      <c r="I203" s="369">
        <f>Fluxo_de_Caixa_Janeiro3459117[[#This Row],[JULHO]]</f>
        <v>0</v>
      </c>
      <c r="J203" s="370">
        <f>Fluxo_de_Caixa_Janeiro345911710[[#This Row],[AGOSTO]]</f>
        <v>0</v>
      </c>
      <c r="K203" s="370">
        <f>Fluxo_de_Caixa_Janeiro34591171012[[#This Row],[SETEMBRO]]</f>
        <v>0</v>
      </c>
      <c r="L203" s="370">
        <f>Fluxo_de_Caixa_Janeiro3459117101215[[#This Row],[OUTUBRO]]</f>
        <v>0</v>
      </c>
      <c r="M203" s="370">
        <f>Fluxo_de_Caixa_Janeiro345911710121516[[#This Row],[NOVEMBRO]]</f>
        <v>0</v>
      </c>
      <c r="N203" s="371">
        <f>Fluxo_de_Caixa_Janeiro34591171012151619[[#This Row],[DEZEMBRO]]</f>
        <v>0</v>
      </c>
      <c r="O203" s="223">
        <f>SUM(Fluxo_de_Caixa_Janeiro31020817[[#This Row],[Janeiro]:[Dezembro]])</f>
        <v>0</v>
      </c>
      <c r="P203" s="193" t="str">
        <f t="shared" si="11"/>
        <v>0,00%</v>
      </c>
      <c r="Q203" s="93"/>
      <c r="R203" s="32"/>
    </row>
    <row r="204" spans="2:18" x14ac:dyDescent="0.25">
      <c r="B204" s="378" t="str">
        <f>Fluxo_de_Caixa_Janeiro[[#This Row],[Fluxo de Caixa 2026 CTR]]</f>
        <v>3.7.04. Multa</v>
      </c>
      <c r="C204" s="369"/>
      <c r="D204" s="370"/>
      <c r="E204" s="370"/>
      <c r="F204" s="370"/>
      <c r="G204" s="370"/>
      <c r="H204" s="370"/>
      <c r="I204" s="369">
        <f>Fluxo_de_Caixa_Janeiro3459117[[#This Row],[JULHO]]</f>
        <v>0</v>
      </c>
      <c r="J204" s="370">
        <f>Fluxo_de_Caixa_Janeiro345911710[[#This Row],[AGOSTO]]</f>
        <v>0</v>
      </c>
      <c r="K204" s="370">
        <f>Fluxo_de_Caixa_Janeiro34591171012[[#This Row],[SETEMBRO]]</f>
        <v>0</v>
      </c>
      <c r="L204" s="370">
        <f>Fluxo_de_Caixa_Janeiro3459117101215[[#This Row],[OUTUBRO]]</f>
        <v>0</v>
      </c>
      <c r="M204" s="370">
        <f>Fluxo_de_Caixa_Janeiro345911710121516[[#This Row],[NOVEMBRO]]</f>
        <v>0</v>
      </c>
      <c r="N204" s="371">
        <f>Fluxo_de_Caixa_Janeiro34591171012151619[[#This Row],[DEZEMBRO]]</f>
        <v>0</v>
      </c>
      <c r="O204" s="223">
        <f>SUM(Fluxo_de_Caixa_Janeiro31020817[[#This Row],[Janeiro]:[Dezembro]])</f>
        <v>0</v>
      </c>
      <c r="P204" s="193" t="str">
        <f t="shared" si="11"/>
        <v>0,00%</v>
      </c>
      <c r="Q204" s="93"/>
      <c r="R204" s="32"/>
    </row>
    <row r="205" spans="2:18" x14ac:dyDescent="0.25">
      <c r="B205" s="378" t="str">
        <f>Fluxo_de_Caixa_Janeiro[[#This Row],[Fluxo de Caixa 2026 CTR]]</f>
        <v>3.7.05. Despesas com Estacionamento</v>
      </c>
      <c r="C205" s="369"/>
      <c r="D205" s="370"/>
      <c r="E205" s="370"/>
      <c r="F205" s="370"/>
      <c r="G205" s="370"/>
      <c r="H205" s="370"/>
      <c r="I205" s="369">
        <f>Fluxo_de_Caixa_Janeiro3459117[[#This Row],[JULHO]]</f>
        <v>0</v>
      </c>
      <c r="J205" s="370">
        <f>Fluxo_de_Caixa_Janeiro345911710[[#This Row],[AGOSTO]]</f>
        <v>0</v>
      </c>
      <c r="K205" s="370">
        <f>Fluxo_de_Caixa_Janeiro34591171012[[#This Row],[SETEMBRO]]</f>
        <v>0</v>
      </c>
      <c r="L205" s="370">
        <f>Fluxo_de_Caixa_Janeiro3459117101215[[#This Row],[OUTUBRO]]</f>
        <v>0</v>
      </c>
      <c r="M205" s="370">
        <f>Fluxo_de_Caixa_Janeiro345911710121516[[#This Row],[NOVEMBRO]]</f>
        <v>0</v>
      </c>
      <c r="N205" s="371">
        <f>Fluxo_de_Caixa_Janeiro34591171012151619[[#This Row],[DEZEMBRO]]</f>
        <v>0</v>
      </c>
      <c r="O205" s="223">
        <f>SUM(Fluxo_de_Caixa_Janeiro31020817[[#This Row],[Janeiro]:[Dezembro]])</f>
        <v>0</v>
      </c>
      <c r="P205" s="193" t="str">
        <f t="shared" si="11"/>
        <v>0,00%</v>
      </c>
      <c r="Q205" s="93"/>
      <c r="R205" s="32"/>
    </row>
    <row r="206" spans="2:18" x14ac:dyDescent="0.25">
      <c r="B206" s="378" t="str">
        <f>Fluxo_de_Caixa_Janeiro[[#This Row],[Fluxo de Caixa 2026 CTR]]</f>
        <v>3.7.06. Aluguel de Veículo</v>
      </c>
      <c r="C206" s="369"/>
      <c r="D206" s="370"/>
      <c r="E206" s="370"/>
      <c r="F206" s="370"/>
      <c r="G206" s="370"/>
      <c r="H206" s="370"/>
      <c r="I206" s="369">
        <f>Fluxo_de_Caixa_Janeiro3459117[[#This Row],[JULHO]]</f>
        <v>0</v>
      </c>
      <c r="J206" s="370">
        <f>Fluxo_de_Caixa_Janeiro345911710[[#This Row],[AGOSTO]]</f>
        <v>0</v>
      </c>
      <c r="K206" s="370">
        <f>Fluxo_de_Caixa_Janeiro34591171012[[#This Row],[SETEMBRO]]</f>
        <v>0</v>
      </c>
      <c r="L206" s="370">
        <f>Fluxo_de_Caixa_Janeiro3459117101215[[#This Row],[OUTUBRO]]</f>
        <v>0</v>
      </c>
      <c r="M206" s="370">
        <f>Fluxo_de_Caixa_Janeiro345911710121516[[#This Row],[NOVEMBRO]]</f>
        <v>0</v>
      </c>
      <c r="N206" s="371">
        <f>Fluxo_de_Caixa_Janeiro34591171012151619[[#This Row],[DEZEMBRO]]</f>
        <v>0</v>
      </c>
      <c r="O206" s="223">
        <f>SUM(Fluxo_de_Caixa_Janeiro31020817[[#This Row],[Janeiro]:[Dezembro]])</f>
        <v>0</v>
      </c>
      <c r="P206" s="193" t="str">
        <f t="shared" si="11"/>
        <v>0,00%</v>
      </c>
      <c r="Q206" s="93"/>
      <c r="R206" s="32"/>
    </row>
    <row r="207" spans="2:18" x14ac:dyDescent="0.25">
      <c r="B207" s="378" t="str">
        <f>Fluxo_de_Caixa_Janeiro[[#This Row],[Fluxo de Caixa 2026 CTR]]</f>
        <v>3.7.07.RASTREAMENTO POR GPS</v>
      </c>
      <c r="C207" s="366"/>
      <c r="D207" s="367"/>
      <c r="E207" s="367"/>
      <c r="F207" s="367"/>
      <c r="G207" s="367"/>
      <c r="H207" s="367"/>
      <c r="I207" s="366">
        <f>Fluxo_de_Caixa_Janeiro3459117[[#This Row],[JULHO]]</f>
        <v>0</v>
      </c>
      <c r="J207" s="367">
        <f>Fluxo_de_Caixa_Janeiro345911710[[#This Row],[AGOSTO]]</f>
        <v>0</v>
      </c>
      <c r="K207" s="367">
        <f>Fluxo_de_Caixa_Janeiro34591171012[[#This Row],[SETEMBRO]]</f>
        <v>0</v>
      </c>
      <c r="L207" s="367">
        <f>Fluxo_de_Caixa_Janeiro3459117101215[[#This Row],[OUTUBRO]]</f>
        <v>0</v>
      </c>
      <c r="M207" s="367">
        <f>Fluxo_de_Caixa_Janeiro345911710121516[[#This Row],[NOVEMBRO]]</f>
        <v>0</v>
      </c>
      <c r="N207" s="368">
        <f>Fluxo_de_Caixa_Janeiro34591171012151619[[#This Row],[DEZEMBRO]]</f>
        <v>0</v>
      </c>
      <c r="O207" s="223">
        <f>SUM(Fluxo_de_Caixa_Janeiro31020817[[#This Row],[Janeiro]:[Dezembro]])</f>
        <v>0</v>
      </c>
      <c r="P207" s="193" t="str">
        <f t="shared" si="11"/>
        <v>0,00%</v>
      </c>
      <c r="Q207" s="93"/>
      <c r="R207" s="32"/>
    </row>
    <row r="208" spans="2:18" x14ac:dyDescent="0.25">
      <c r="B208" s="378" t="str">
        <f>Fluxo_de_Caixa_Janeiro[[#This Row],[Fluxo de Caixa 2026 CTR]]</f>
        <v>3.7.08. Seguro Veicular</v>
      </c>
      <c r="C208" s="357"/>
      <c r="D208" s="306"/>
      <c r="E208" s="306"/>
      <c r="F208" s="306"/>
      <c r="G208" s="306"/>
      <c r="H208" s="306"/>
      <c r="I208" s="357">
        <f>Fluxo_de_Caixa_Janeiro3459117[[#This Row],[JULHO]]</f>
        <v>0</v>
      </c>
      <c r="J208" s="306">
        <f>Fluxo_de_Caixa_Janeiro345911710[[#This Row],[AGOSTO]]</f>
        <v>0</v>
      </c>
      <c r="K208" s="306">
        <f>Fluxo_de_Caixa_Janeiro34591171012[[#This Row],[SETEMBRO]]</f>
        <v>0</v>
      </c>
      <c r="L208" s="306">
        <f>Fluxo_de_Caixa_Janeiro3459117101215[[#This Row],[OUTUBRO]]</f>
        <v>0</v>
      </c>
      <c r="M208" s="306">
        <f>Fluxo_de_Caixa_Janeiro345911710121516[[#This Row],[NOVEMBRO]]</f>
        <v>0</v>
      </c>
      <c r="N208" s="360">
        <f>Fluxo_de_Caixa_Janeiro34591171012151619[[#This Row],[DEZEMBRO]]</f>
        <v>0</v>
      </c>
      <c r="O208" s="223">
        <f>SUM(Fluxo_de_Caixa_Janeiro31020817[[#This Row],[Janeiro]:[Dezembro]])</f>
        <v>0</v>
      </c>
      <c r="P208" s="193" t="str">
        <f t="shared" si="11"/>
        <v>0,00%</v>
      </c>
      <c r="Q208" s="93"/>
      <c r="R208" s="32"/>
    </row>
    <row r="209" spans="2:18" x14ac:dyDescent="0.25">
      <c r="B209" s="378" t="str">
        <f>Fluxo_de_Caixa_Janeiro[[#This Row],[Fluxo de Caixa 2026 CTR]]</f>
        <v>3.7.09.PEDAGIO E TRAVESSIA DE BALSA</v>
      </c>
      <c r="C209" s="369"/>
      <c r="D209" s="370"/>
      <c r="E209" s="370"/>
      <c r="F209" s="370"/>
      <c r="G209" s="370"/>
      <c r="H209" s="370"/>
      <c r="I209" s="369">
        <f>Fluxo_de_Caixa_Janeiro3459117[[#This Row],[JULHO]]</f>
        <v>0</v>
      </c>
      <c r="J209" s="370">
        <f>Fluxo_de_Caixa_Janeiro345911710[[#This Row],[AGOSTO]]</f>
        <v>0</v>
      </c>
      <c r="K209" s="370">
        <f>Fluxo_de_Caixa_Janeiro34591171012[[#This Row],[SETEMBRO]]</f>
        <v>0</v>
      </c>
      <c r="L209" s="370">
        <f>Fluxo_de_Caixa_Janeiro3459117101215[[#This Row],[OUTUBRO]]</f>
        <v>0</v>
      </c>
      <c r="M209" s="370">
        <f>Fluxo_de_Caixa_Janeiro345911710121516[[#This Row],[NOVEMBRO]]</f>
        <v>0</v>
      </c>
      <c r="N209" s="371">
        <f>Fluxo_de_Caixa_Janeiro34591171012151619[[#This Row],[DEZEMBRO]]</f>
        <v>0</v>
      </c>
      <c r="O209" s="223">
        <f>SUM(Fluxo_de_Caixa_Janeiro31020817[[#This Row],[Janeiro]:[Dezembro]])</f>
        <v>0</v>
      </c>
      <c r="P209" s="193" t="str">
        <f t="shared" si="11"/>
        <v>0,00%</v>
      </c>
      <c r="Q209" s="93"/>
      <c r="R209" s="32"/>
    </row>
    <row r="210" spans="2:18" x14ac:dyDescent="0.25">
      <c r="B210" s="378">
        <f>Fluxo_de_Caixa_Janeiro[[#This Row],[Fluxo de Caixa 2026 CTR]]</f>
        <v>0</v>
      </c>
      <c r="C210" s="369"/>
      <c r="D210" s="370"/>
      <c r="E210" s="370"/>
      <c r="F210" s="370"/>
      <c r="G210" s="370"/>
      <c r="H210" s="370"/>
      <c r="I210" s="369">
        <f>Fluxo_de_Caixa_Janeiro3459117[[#This Row],[JULHO]]</f>
        <v>0</v>
      </c>
      <c r="J210" s="370">
        <f>Fluxo_de_Caixa_Janeiro345911710[[#This Row],[AGOSTO]]</f>
        <v>0</v>
      </c>
      <c r="K210" s="370">
        <f>Fluxo_de_Caixa_Janeiro34591171012[[#This Row],[SETEMBRO]]</f>
        <v>0</v>
      </c>
      <c r="L210" s="370">
        <f>Fluxo_de_Caixa_Janeiro3459117101215[[#This Row],[OUTUBRO]]</f>
        <v>0</v>
      </c>
      <c r="M210" s="370">
        <f>Fluxo_de_Caixa_Janeiro345911710121516[[#This Row],[NOVEMBRO]]</f>
        <v>0</v>
      </c>
      <c r="N210" s="371">
        <f>Fluxo_de_Caixa_Janeiro34591171012151619[[#This Row],[DEZEMBRO]]</f>
        <v>0</v>
      </c>
      <c r="O210" s="223">
        <f>SUM(Fluxo_de_Caixa_Janeiro31020817[[#This Row],[Janeiro]:[Dezembro]])</f>
        <v>0</v>
      </c>
      <c r="P210" s="193" t="str">
        <f t="shared" si="11"/>
        <v>0,00%</v>
      </c>
      <c r="Q210" s="93"/>
      <c r="R210" s="32"/>
    </row>
    <row r="211" spans="2:18" ht="15.75" thickBot="1" x14ac:dyDescent="0.3">
      <c r="B211" s="389">
        <f>Fluxo_de_Caixa_Janeiro[[#This Row],[Fluxo de Caixa 2026 CTR]]</f>
        <v>0</v>
      </c>
      <c r="C211" s="366"/>
      <c r="D211" s="367"/>
      <c r="E211" s="367"/>
      <c r="F211" s="367"/>
      <c r="G211" s="367"/>
      <c r="H211" s="367"/>
      <c r="I211" s="366">
        <f>Fluxo_de_Caixa_Janeiro3459117[[#This Row],[JULHO]]</f>
        <v>0</v>
      </c>
      <c r="J211" s="367">
        <f>Fluxo_de_Caixa_Janeiro345911710[[#This Row],[AGOSTO]]</f>
        <v>0</v>
      </c>
      <c r="K211" s="367">
        <f>Fluxo_de_Caixa_Janeiro34591171012[[#This Row],[SETEMBRO]]</f>
        <v>0</v>
      </c>
      <c r="L211" s="367">
        <f>Fluxo_de_Caixa_Janeiro3459117101215[[#This Row],[OUTUBRO]]</f>
        <v>0</v>
      </c>
      <c r="M211" s="367">
        <f>Fluxo_de_Caixa_Janeiro345911710121516[[#This Row],[NOVEMBRO]]</f>
        <v>0</v>
      </c>
      <c r="N211" s="368">
        <f>Fluxo_de_Caixa_Janeiro34591171012151619[[#This Row],[DEZEMBRO]]</f>
        <v>0</v>
      </c>
      <c r="O211" s="223">
        <f>SUM(Fluxo_de_Caixa_Janeiro31020817[[#This Row],[Janeiro]:[Dezembro]])</f>
        <v>0</v>
      </c>
      <c r="P211" s="193" t="str">
        <f t="shared" si="11"/>
        <v>0,00%</v>
      </c>
      <c r="Q211" s="93"/>
      <c r="R211" s="32"/>
    </row>
    <row r="212" spans="2:18" ht="19.5" thickBot="1" x14ac:dyDescent="0.35">
      <c r="B212" s="277" t="str">
        <f>Fluxo_de_Caixa_Janeiro[[#This Row],[Fluxo de Caixa 2026 CTR]]</f>
        <v>3.8. IMPOSTOS ADMINISTRATIVOS</v>
      </c>
      <c r="C212" s="158"/>
      <c r="D212" s="97"/>
      <c r="E212" s="97"/>
      <c r="F212" s="97"/>
      <c r="G212" s="97"/>
      <c r="H212" s="97"/>
      <c r="I212" s="158">
        <f>Fluxo_de_Caixa_Janeiro3459117[[#This Row],[JULHO]]</f>
        <v>0</v>
      </c>
      <c r="J212" s="97">
        <f>Fluxo_de_Caixa_Janeiro345911710[[#This Row],[AGOSTO]]</f>
        <v>0</v>
      </c>
      <c r="K212" s="97">
        <f>Fluxo_de_Caixa_Janeiro34591171012[[#This Row],[SETEMBRO]]</f>
        <v>0</v>
      </c>
      <c r="L212" s="97">
        <f>Fluxo_de_Caixa_Janeiro3459117101215[[#This Row],[OUTUBRO]]</f>
        <v>0</v>
      </c>
      <c r="M212" s="97">
        <f>Fluxo_de_Caixa_Janeiro345911710121516[[#This Row],[NOVEMBRO]]</f>
        <v>0</v>
      </c>
      <c r="N212" s="129">
        <f>Fluxo_de_Caixa_Janeiro34591171012151619[[#This Row],[DEZEMBRO]]</f>
        <v>0</v>
      </c>
      <c r="O212" s="226">
        <f>SUM(Fluxo_de_Caixa_Janeiro31020817[[#This Row],[Janeiro]:[Dezembro]])</f>
        <v>0</v>
      </c>
      <c r="P212" s="144">
        <f>-IFERROR(C212/$C$27,"0,00")</f>
        <v>0</v>
      </c>
      <c r="Q212" s="98"/>
      <c r="R212" s="32"/>
    </row>
    <row r="213" spans="2:18" x14ac:dyDescent="0.25">
      <c r="B213" s="390">
        <f>Fluxo_de_Caixa_Janeiro[[#This Row],[Fluxo de Caixa 2026 CTR]]</f>
        <v>0</v>
      </c>
      <c r="C213" s="369"/>
      <c r="D213" s="370"/>
      <c r="E213" s="370"/>
      <c r="F213" s="370"/>
      <c r="G213" s="370"/>
      <c r="H213" s="370"/>
      <c r="I213" s="369">
        <f>Fluxo_de_Caixa_Janeiro3459117[[#This Row],[JULHO]]</f>
        <v>0</v>
      </c>
      <c r="J213" s="370">
        <f>Fluxo_de_Caixa_Janeiro345911710[[#This Row],[AGOSTO]]</f>
        <v>0</v>
      </c>
      <c r="K213" s="370">
        <f>Fluxo_de_Caixa_Janeiro34591171012[[#This Row],[SETEMBRO]]</f>
        <v>0</v>
      </c>
      <c r="L213" s="370">
        <f>Fluxo_de_Caixa_Janeiro3459117101215[[#This Row],[OUTUBRO]]</f>
        <v>0</v>
      </c>
      <c r="M213" s="370">
        <f>Fluxo_de_Caixa_Janeiro345911710121516[[#This Row],[NOVEMBRO]]</f>
        <v>0</v>
      </c>
      <c r="N213" s="371">
        <f>Fluxo_de_Caixa_Janeiro34591171012151619[[#This Row],[DEZEMBRO]]</f>
        <v>0</v>
      </c>
      <c r="O213" s="396">
        <f>SUM(Fluxo_de_Caixa_Janeiro31020817[[#This Row],[Janeiro]:[Dezembro]])</f>
        <v>0</v>
      </c>
      <c r="P213" s="398"/>
      <c r="Q213" s="399"/>
      <c r="R213" s="32"/>
    </row>
    <row r="214" spans="2:18" x14ac:dyDescent="0.25">
      <c r="B214" s="378">
        <f>Fluxo_de_Caixa_Janeiro[[#This Row],[Fluxo de Caixa 2026 CTR]]</f>
        <v>0</v>
      </c>
      <c r="C214" s="357"/>
      <c r="D214" s="306"/>
      <c r="E214" s="306"/>
      <c r="F214" s="306"/>
      <c r="G214" s="306"/>
      <c r="H214" s="306"/>
      <c r="I214" s="357">
        <f>Fluxo_de_Caixa_Janeiro3459117[[#This Row],[JULHO]]</f>
        <v>0</v>
      </c>
      <c r="J214" s="306">
        <f>Fluxo_de_Caixa_Janeiro345911710[[#This Row],[AGOSTO]]</f>
        <v>0</v>
      </c>
      <c r="K214" s="306">
        <f>Fluxo_de_Caixa_Janeiro34591171012[[#This Row],[SETEMBRO]]</f>
        <v>0</v>
      </c>
      <c r="L214" s="306">
        <f>Fluxo_de_Caixa_Janeiro3459117101215[[#This Row],[OUTUBRO]]</f>
        <v>0</v>
      </c>
      <c r="M214" s="306">
        <f>Fluxo_de_Caixa_Janeiro345911710121516[[#This Row],[NOVEMBRO]]</f>
        <v>0</v>
      </c>
      <c r="N214" s="306">
        <f>Fluxo_de_Caixa_Janeiro34591171012151619[[#This Row],[DEZEMBRO]]</f>
        <v>0</v>
      </c>
      <c r="O214" s="396">
        <f>SUM(Fluxo_de_Caixa_Janeiro31020817[[#This Row],[Janeiro]:[Dezembro]])</f>
        <v>0</v>
      </c>
      <c r="P214" s="398"/>
      <c r="Q214" s="399"/>
      <c r="R214" s="32"/>
    </row>
    <row r="215" spans="2:18" x14ac:dyDescent="0.25">
      <c r="B215" s="378" t="str">
        <f>Fluxo_de_Caixa_Janeiro[[#This Row],[Fluxo de Caixa 2026 CTR]]</f>
        <v xml:space="preserve">3.8.03.ICMS-DIFERENCIAL DE ALIQUOTA </v>
      </c>
      <c r="C215" s="357"/>
      <c r="D215" s="306"/>
      <c r="E215" s="306"/>
      <c r="F215" s="306"/>
      <c r="G215" s="306"/>
      <c r="H215" s="306"/>
      <c r="I215" s="357">
        <f>Fluxo_de_Caixa_Janeiro3459117[[#This Row],[JULHO]]</f>
        <v>0</v>
      </c>
      <c r="J215" s="306">
        <f>Fluxo_de_Caixa_Janeiro345911710[[#This Row],[AGOSTO]]</f>
        <v>0</v>
      </c>
      <c r="K215" s="306">
        <f>Fluxo_de_Caixa_Janeiro34591171012[[#This Row],[SETEMBRO]]</f>
        <v>0</v>
      </c>
      <c r="L215" s="306">
        <f>Fluxo_de_Caixa_Janeiro3459117101215[[#This Row],[OUTUBRO]]</f>
        <v>0</v>
      </c>
      <c r="M215" s="306">
        <f>Fluxo_de_Caixa_Janeiro345911710121516[[#This Row],[NOVEMBRO]]</f>
        <v>0</v>
      </c>
      <c r="N215" s="306">
        <f>Fluxo_de_Caixa_Janeiro34591171012151619[[#This Row],[DEZEMBRO]]</f>
        <v>0</v>
      </c>
      <c r="O215" s="396">
        <f>SUM(Fluxo_de_Caixa_Janeiro31020817[[#This Row],[Janeiro]:[Dezembro]])</f>
        <v>0</v>
      </c>
      <c r="P215" s="398"/>
      <c r="Q215" s="399"/>
      <c r="R215" s="32"/>
    </row>
    <row r="216" spans="2:18" x14ac:dyDescent="0.25">
      <c r="B216" s="378">
        <f>Fluxo_de_Caixa_Janeiro[[#This Row],[Fluxo de Caixa 2026 CTR]]</f>
        <v>0</v>
      </c>
      <c r="C216" s="357"/>
      <c r="D216" s="306"/>
      <c r="E216" s="306"/>
      <c r="F216" s="306"/>
      <c r="G216" s="306"/>
      <c r="H216" s="306"/>
      <c r="I216" s="357">
        <f>Fluxo_de_Caixa_Janeiro3459117[[#This Row],[JULHO]]</f>
        <v>0</v>
      </c>
      <c r="J216" s="306">
        <f>Fluxo_de_Caixa_Janeiro345911710[[#This Row],[AGOSTO]]</f>
        <v>0</v>
      </c>
      <c r="K216" s="306">
        <f>Fluxo_de_Caixa_Janeiro34591171012[[#This Row],[SETEMBRO]]</f>
        <v>0</v>
      </c>
      <c r="L216" s="306">
        <f>Fluxo_de_Caixa_Janeiro3459117101215[[#This Row],[OUTUBRO]]</f>
        <v>0</v>
      </c>
      <c r="M216" s="306">
        <f>Fluxo_de_Caixa_Janeiro345911710121516[[#This Row],[NOVEMBRO]]</f>
        <v>0</v>
      </c>
      <c r="N216" s="306">
        <f>Fluxo_de_Caixa_Janeiro34591171012151619[[#This Row],[DEZEMBRO]]</f>
        <v>0</v>
      </c>
      <c r="O216" s="396">
        <f>SUM(Fluxo_de_Caixa_Janeiro31020817[[#This Row],[Janeiro]:[Dezembro]])</f>
        <v>0</v>
      </c>
      <c r="P216" s="398"/>
      <c r="Q216" s="399"/>
      <c r="R216" s="32"/>
    </row>
    <row r="217" spans="2:18" x14ac:dyDescent="0.25">
      <c r="B217" s="378" t="str">
        <f>Fluxo_de_Caixa_Janeiro[[#This Row],[Fluxo de Caixa 2026 CTR]]</f>
        <v>3.8.05. IR</v>
      </c>
      <c r="C217" s="357"/>
      <c r="D217" s="306"/>
      <c r="E217" s="306"/>
      <c r="F217" s="306"/>
      <c r="G217" s="306"/>
      <c r="H217" s="306"/>
      <c r="I217" s="357">
        <f>Fluxo_de_Caixa_Janeiro3459117[[#This Row],[JULHO]]</f>
        <v>0</v>
      </c>
      <c r="J217" s="306">
        <f>Fluxo_de_Caixa_Janeiro345911710[[#This Row],[AGOSTO]]</f>
        <v>0</v>
      </c>
      <c r="K217" s="306">
        <f>Fluxo_de_Caixa_Janeiro34591171012[[#This Row],[SETEMBRO]]</f>
        <v>0</v>
      </c>
      <c r="L217" s="306">
        <f>Fluxo_de_Caixa_Janeiro3459117101215[[#This Row],[OUTUBRO]]</f>
        <v>0</v>
      </c>
      <c r="M217" s="306">
        <f>Fluxo_de_Caixa_Janeiro345911710121516[[#This Row],[NOVEMBRO]]</f>
        <v>0</v>
      </c>
      <c r="N217" s="306">
        <f>Fluxo_de_Caixa_Janeiro34591171012151619[[#This Row],[DEZEMBRO]]</f>
        <v>0</v>
      </c>
      <c r="O217" s="396">
        <f>SUM(Fluxo_de_Caixa_Janeiro31020817[[#This Row],[Janeiro]:[Dezembro]])</f>
        <v>0</v>
      </c>
      <c r="P217" s="398"/>
      <c r="Q217" s="399"/>
      <c r="R217" s="32"/>
    </row>
    <row r="218" spans="2:18" x14ac:dyDescent="0.25">
      <c r="B218" s="378" t="str">
        <f>Fluxo_de_Caixa_Janeiro[[#This Row],[Fluxo de Caixa 2026 CTR]]</f>
        <v>3.8.06. CSLL</v>
      </c>
      <c r="C218" s="357"/>
      <c r="D218" s="306"/>
      <c r="E218" s="306"/>
      <c r="F218" s="306"/>
      <c r="G218" s="306"/>
      <c r="H218" s="306"/>
      <c r="I218" s="357">
        <f>Fluxo_de_Caixa_Janeiro3459117[[#This Row],[JULHO]]</f>
        <v>0</v>
      </c>
      <c r="J218" s="306">
        <f>Fluxo_de_Caixa_Janeiro345911710[[#This Row],[AGOSTO]]</f>
        <v>0</v>
      </c>
      <c r="K218" s="306">
        <f>Fluxo_de_Caixa_Janeiro34591171012[[#This Row],[SETEMBRO]]</f>
        <v>0</v>
      </c>
      <c r="L218" s="306">
        <f>Fluxo_de_Caixa_Janeiro3459117101215[[#This Row],[OUTUBRO]]</f>
        <v>0</v>
      </c>
      <c r="M218" s="306">
        <f>Fluxo_de_Caixa_Janeiro345911710121516[[#This Row],[NOVEMBRO]]</f>
        <v>0</v>
      </c>
      <c r="N218" s="306">
        <f>Fluxo_de_Caixa_Janeiro34591171012151619[[#This Row],[DEZEMBRO]]</f>
        <v>0</v>
      </c>
      <c r="O218" s="396">
        <f>SUM(Fluxo_de_Caixa_Janeiro31020817[[#This Row],[Janeiro]:[Dezembro]])</f>
        <v>0</v>
      </c>
      <c r="P218" s="398"/>
      <c r="Q218" s="399"/>
      <c r="R218" s="32"/>
    </row>
    <row r="219" spans="2:18" x14ac:dyDescent="0.25">
      <c r="B219" s="378" t="str">
        <f>Fluxo_de_Caixa_Janeiro[[#This Row],[Fluxo de Caixa 2026 CTR]]</f>
        <v>3.8.07. IPTU</v>
      </c>
      <c r="C219" s="357"/>
      <c r="D219" s="306"/>
      <c r="E219" s="306"/>
      <c r="F219" s="306"/>
      <c r="G219" s="306"/>
      <c r="H219" s="306"/>
      <c r="I219" s="357">
        <f>Fluxo_de_Caixa_Janeiro3459117[[#This Row],[JULHO]]</f>
        <v>0</v>
      </c>
      <c r="J219" s="306">
        <f>Fluxo_de_Caixa_Janeiro345911710[[#This Row],[AGOSTO]]</f>
        <v>0</v>
      </c>
      <c r="K219" s="306">
        <f>Fluxo_de_Caixa_Janeiro34591171012[[#This Row],[SETEMBRO]]</f>
        <v>0</v>
      </c>
      <c r="L219" s="306">
        <f>Fluxo_de_Caixa_Janeiro3459117101215[[#This Row],[OUTUBRO]]</f>
        <v>0</v>
      </c>
      <c r="M219" s="306">
        <f>Fluxo_de_Caixa_Janeiro345911710121516[[#This Row],[NOVEMBRO]]</f>
        <v>0</v>
      </c>
      <c r="N219" s="306">
        <f>Fluxo_de_Caixa_Janeiro34591171012151619[[#This Row],[DEZEMBRO]]</f>
        <v>0</v>
      </c>
      <c r="O219" s="396">
        <f>SUM(Fluxo_de_Caixa_Janeiro31020817[[#This Row],[Janeiro]:[Dezembro]])</f>
        <v>0</v>
      </c>
      <c r="P219" s="398"/>
      <c r="Q219" s="399"/>
      <c r="R219" s="32"/>
    </row>
    <row r="220" spans="2:18" x14ac:dyDescent="0.25">
      <c r="B220" s="378" t="str">
        <f>Fluxo_de_Caixa_Janeiro[[#This Row],[Fluxo de Caixa 2026 CTR]]</f>
        <v>3.8.08.OUTROS TRIBUTOS MUNICIPAIS</v>
      </c>
      <c r="C220" s="357"/>
      <c r="D220" s="306"/>
      <c r="E220" s="306"/>
      <c r="F220" s="306"/>
      <c r="G220" s="306"/>
      <c r="H220" s="306"/>
      <c r="I220" s="357">
        <f>Fluxo_de_Caixa_Janeiro3459117[[#This Row],[JULHO]]</f>
        <v>0</v>
      </c>
      <c r="J220" s="306">
        <f>Fluxo_de_Caixa_Janeiro345911710[[#This Row],[AGOSTO]]</f>
        <v>0</v>
      </c>
      <c r="K220" s="306">
        <f>Fluxo_de_Caixa_Janeiro34591171012[[#This Row],[SETEMBRO]]</f>
        <v>0</v>
      </c>
      <c r="L220" s="306">
        <f>Fluxo_de_Caixa_Janeiro3459117101215[[#This Row],[OUTUBRO]]</f>
        <v>0</v>
      </c>
      <c r="M220" s="306">
        <f>Fluxo_de_Caixa_Janeiro345911710121516[[#This Row],[NOVEMBRO]]</f>
        <v>0</v>
      </c>
      <c r="N220" s="306">
        <f>Fluxo_de_Caixa_Janeiro34591171012151619[[#This Row],[DEZEMBRO]]</f>
        <v>0</v>
      </c>
      <c r="O220" s="396">
        <f>SUM(Fluxo_de_Caixa_Janeiro31020817[[#This Row],[Janeiro]:[Dezembro]])</f>
        <v>0</v>
      </c>
      <c r="P220" s="398"/>
      <c r="Q220" s="399"/>
      <c r="R220" s="32"/>
    </row>
    <row r="221" spans="2:18" x14ac:dyDescent="0.25">
      <c r="B221" s="378" t="str">
        <f>Fluxo_de_Caixa_Janeiro[[#This Row],[Fluxo de Caixa 2026 CTR]]</f>
        <v>3.8.09.OUTROS TRIBUTOS ESTADUAIS</v>
      </c>
      <c r="C221" s="357"/>
      <c r="D221" s="306"/>
      <c r="E221" s="306"/>
      <c r="F221" s="306"/>
      <c r="G221" s="306"/>
      <c r="H221" s="306"/>
      <c r="I221" s="357">
        <f>Fluxo_de_Caixa_Janeiro3459117[[#This Row],[JULHO]]</f>
        <v>0</v>
      </c>
      <c r="J221" s="306">
        <f>Fluxo_de_Caixa_Janeiro345911710[[#This Row],[AGOSTO]]</f>
        <v>0</v>
      </c>
      <c r="K221" s="306">
        <f>Fluxo_de_Caixa_Janeiro34591171012[[#This Row],[SETEMBRO]]</f>
        <v>0</v>
      </c>
      <c r="L221" s="306">
        <f>Fluxo_de_Caixa_Janeiro3459117101215[[#This Row],[OUTUBRO]]</f>
        <v>0</v>
      </c>
      <c r="M221" s="306">
        <f>Fluxo_de_Caixa_Janeiro345911710121516[[#This Row],[NOVEMBRO]]</f>
        <v>0</v>
      </c>
      <c r="N221" s="306">
        <f>Fluxo_de_Caixa_Janeiro34591171012151619[[#This Row],[DEZEMBRO]]</f>
        <v>0</v>
      </c>
      <c r="O221" s="396">
        <f>SUM(Fluxo_de_Caixa_Janeiro31020817[[#This Row],[Janeiro]:[Dezembro]])</f>
        <v>0</v>
      </c>
      <c r="P221" s="398"/>
      <c r="Q221" s="399"/>
      <c r="R221" s="32"/>
    </row>
    <row r="222" spans="2:18" x14ac:dyDescent="0.25">
      <c r="B222" s="378" t="str">
        <f>Fluxo_de_Caixa_Janeiro[[#This Row],[Fluxo de Caixa 2026 CTR]]</f>
        <v>3.8.10.OUTROS TRIBUTOS FEDERAIS</v>
      </c>
      <c r="C222" s="357"/>
      <c r="D222" s="306"/>
      <c r="E222" s="306"/>
      <c r="F222" s="306"/>
      <c r="G222" s="306"/>
      <c r="H222" s="306"/>
      <c r="I222" s="357">
        <f>Fluxo_de_Caixa_Janeiro3459117[[#This Row],[JULHO]]</f>
        <v>0</v>
      </c>
      <c r="J222" s="306">
        <f>Fluxo_de_Caixa_Janeiro345911710[[#This Row],[AGOSTO]]</f>
        <v>0</v>
      </c>
      <c r="K222" s="306">
        <f>Fluxo_de_Caixa_Janeiro34591171012[[#This Row],[SETEMBRO]]</f>
        <v>0</v>
      </c>
      <c r="L222" s="306">
        <f>Fluxo_de_Caixa_Janeiro3459117101215[[#This Row],[OUTUBRO]]</f>
        <v>0</v>
      </c>
      <c r="M222" s="306">
        <f>Fluxo_de_Caixa_Janeiro345911710121516[[#This Row],[NOVEMBRO]]</f>
        <v>0</v>
      </c>
      <c r="N222" s="306">
        <f>Fluxo_de_Caixa_Janeiro34591171012151619[[#This Row],[DEZEMBRO]]</f>
        <v>0</v>
      </c>
      <c r="O222" s="396">
        <f>SUM(Fluxo_de_Caixa_Janeiro31020817[[#This Row],[Janeiro]:[Dezembro]])</f>
        <v>0</v>
      </c>
      <c r="P222" s="398"/>
      <c r="Q222" s="399"/>
      <c r="R222" s="32"/>
    </row>
    <row r="223" spans="2:18" x14ac:dyDescent="0.25">
      <c r="B223" s="378" t="str">
        <f>Fluxo_de_Caixa_Janeiro[[#This Row],[Fluxo de Caixa 2026 CTR]]</f>
        <v>3.8.11. IRRF S/ SERVIÇO DE TERCEIRO</v>
      </c>
      <c r="C223" s="357"/>
      <c r="D223" s="306"/>
      <c r="E223" s="306"/>
      <c r="F223" s="306"/>
      <c r="G223" s="306"/>
      <c r="H223" s="306"/>
      <c r="I223" s="357">
        <f>Fluxo_de_Caixa_Janeiro3459117[[#This Row],[JULHO]]</f>
        <v>0</v>
      </c>
      <c r="J223" s="306">
        <f>Fluxo_de_Caixa_Janeiro345911710[[#This Row],[AGOSTO]]</f>
        <v>0</v>
      </c>
      <c r="K223" s="306">
        <f>Fluxo_de_Caixa_Janeiro34591171012[[#This Row],[SETEMBRO]]</f>
        <v>0</v>
      </c>
      <c r="L223" s="306">
        <f>Fluxo_de_Caixa_Janeiro3459117101215[[#This Row],[OUTUBRO]]</f>
        <v>0</v>
      </c>
      <c r="M223" s="306">
        <f>Fluxo_de_Caixa_Janeiro345911710121516[[#This Row],[NOVEMBRO]]</f>
        <v>0</v>
      </c>
      <c r="N223" s="306">
        <f>Fluxo_de_Caixa_Janeiro34591171012151619[[#This Row],[DEZEMBRO]]</f>
        <v>0</v>
      </c>
      <c r="O223" s="396">
        <f>SUM(Fluxo_de_Caixa_Janeiro31020817[[#This Row],[Janeiro]:[Dezembro]])</f>
        <v>0</v>
      </c>
      <c r="P223" s="398"/>
      <c r="Q223" s="399"/>
      <c r="R223" s="32"/>
    </row>
    <row r="224" spans="2:18" x14ac:dyDescent="0.25">
      <c r="B224" s="378" t="str">
        <f>Fluxo_de_Caixa_Janeiro[[#This Row],[Fluxo de Caixa 2026 CTR]]</f>
        <v>3.8.12.MULTA S/ INFRACOES FISCAIS</v>
      </c>
      <c r="C224" s="357"/>
      <c r="D224" s="306"/>
      <c r="E224" s="306"/>
      <c r="F224" s="306"/>
      <c r="G224" s="306"/>
      <c r="H224" s="306"/>
      <c r="I224" s="357">
        <f>Fluxo_de_Caixa_Janeiro3459117[[#This Row],[JULHO]]</f>
        <v>0</v>
      </c>
      <c r="J224" s="306">
        <f>Fluxo_de_Caixa_Janeiro345911710[[#This Row],[AGOSTO]]</f>
        <v>0</v>
      </c>
      <c r="K224" s="306">
        <f>Fluxo_de_Caixa_Janeiro34591171012[[#This Row],[SETEMBRO]]</f>
        <v>0</v>
      </c>
      <c r="L224" s="306">
        <f>Fluxo_de_Caixa_Janeiro3459117101215[[#This Row],[OUTUBRO]]</f>
        <v>0</v>
      </c>
      <c r="M224" s="306">
        <f>Fluxo_de_Caixa_Janeiro345911710121516[[#This Row],[NOVEMBRO]]</f>
        <v>0</v>
      </c>
      <c r="N224" s="306">
        <f>Fluxo_de_Caixa_Janeiro34591171012151619[[#This Row],[DEZEMBRO]]</f>
        <v>0</v>
      </c>
      <c r="O224" s="396">
        <f>SUM(Fluxo_de_Caixa_Janeiro31020817[[#This Row],[Janeiro]:[Dezembro]])</f>
        <v>0</v>
      </c>
      <c r="P224" s="398"/>
      <c r="Q224" s="399"/>
      <c r="R224" s="32"/>
    </row>
    <row r="225" spans="2:26" x14ac:dyDescent="0.25">
      <c r="B225" s="378" t="str">
        <f>Fluxo_de_Caixa_Janeiro[[#This Row],[Fluxo de Caixa 2026 CTR]]</f>
        <v>3.8.13.MULTA ATRASO PAGTO TRIBUTOS</v>
      </c>
      <c r="C225" s="357"/>
      <c r="D225" s="306"/>
      <c r="E225" s="306"/>
      <c r="F225" s="306"/>
      <c r="G225" s="306"/>
      <c r="H225" s="306"/>
      <c r="I225" s="357">
        <f>Fluxo_de_Caixa_Janeiro3459117[[#This Row],[JULHO]]</f>
        <v>0</v>
      </c>
      <c r="J225" s="306">
        <f>Fluxo_de_Caixa_Janeiro345911710[[#This Row],[AGOSTO]]</f>
        <v>0</v>
      </c>
      <c r="K225" s="306">
        <f>Fluxo_de_Caixa_Janeiro34591171012[[#This Row],[SETEMBRO]]</f>
        <v>0</v>
      </c>
      <c r="L225" s="306">
        <f>Fluxo_de_Caixa_Janeiro3459117101215[[#This Row],[OUTUBRO]]</f>
        <v>0</v>
      </c>
      <c r="M225" s="306">
        <f>Fluxo_de_Caixa_Janeiro345911710121516[[#This Row],[NOVEMBRO]]</f>
        <v>0</v>
      </c>
      <c r="N225" s="306">
        <f>Fluxo_de_Caixa_Janeiro34591171012151619[[#This Row],[DEZEMBRO]]</f>
        <v>0</v>
      </c>
      <c r="O225" s="396">
        <f>SUM(Fluxo_de_Caixa_Janeiro31020817[[#This Row],[Janeiro]:[Dezembro]])</f>
        <v>0</v>
      </c>
      <c r="P225" s="398"/>
      <c r="Q225" s="399"/>
      <c r="R225" s="32"/>
    </row>
    <row r="226" spans="2:26" x14ac:dyDescent="0.25">
      <c r="B226" s="378">
        <f>Fluxo_de_Caixa_Janeiro[[#This Row],[Fluxo de Caixa 2026 CTR]]</f>
        <v>0</v>
      </c>
      <c r="C226" s="357"/>
      <c r="D226" s="306"/>
      <c r="E226" s="306"/>
      <c r="F226" s="306"/>
      <c r="G226" s="306"/>
      <c r="H226" s="306"/>
      <c r="I226" s="357">
        <f>Fluxo_de_Caixa_Janeiro3459117[[#This Row],[JULHO]]</f>
        <v>0</v>
      </c>
      <c r="J226" s="306">
        <f>Fluxo_de_Caixa_Janeiro345911710[[#This Row],[AGOSTO]]</f>
        <v>0</v>
      </c>
      <c r="K226" s="306">
        <f>Fluxo_de_Caixa_Janeiro34591171012[[#This Row],[SETEMBRO]]</f>
        <v>0</v>
      </c>
      <c r="L226" s="306">
        <f>Fluxo_de_Caixa_Janeiro3459117101215[[#This Row],[OUTUBRO]]</f>
        <v>0</v>
      </c>
      <c r="M226" s="306">
        <f>Fluxo_de_Caixa_Janeiro345911710121516[[#This Row],[NOVEMBRO]]</f>
        <v>0</v>
      </c>
      <c r="N226" s="306">
        <f>Fluxo_de_Caixa_Janeiro34591171012151619[[#This Row],[DEZEMBRO]]</f>
        <v>0</v>
      </c>
      <c r="O226" s="396">
        <f>SUM(Fluxo_de_Caixa_Janeiro31020817[[#This Row],[Janeiro]:[Dezembro]])</f>
        <v>0</v>
      </c>
      <c r="P226" s="398"/>
      <c r="Q226" s="399"/>
      <c r="R226" s="32"/>
    </row>
    <row r="227" spans="2:26" x14ac:dyDescent="0.25">
      <c r="B227" s="378">
        <f>Fluxo_de_Caixa_Janeiro[[#This Row],[Fluxo de Caixa 2026 CTR]]</f>
        <v>0</v>
      </c>
      <c r="C227" s="357"/>
      <c r="D227" s="306"/>
      <c r="E227" s="306"/>
      <c r="F227" s="306"/>
      <c r="G227" s="306"/>
      <c r="H227" s="306"/>
      <c r="I227" s="357">
        <f>Fluxo_de_Caixa_Janeiro3459117[[#This Row],[JULHO]]</f>
        <v>0</v>
      </c>
      <c r="J227" s="306">
        <f>Fluxo_de_Caixa_Janeiro345911710[[#This Row],[AGOSTO]]</f>
        <v>0</v>
      </c>
      <c r="K227" s="306">
        <f>Fluxo_de_Caixa_Janeiro34591171012[[#This Row],[SETEMBRO]]</f>
        <v>0</v>
      </c>
      <c r="L227" s="306">
        <f>Fluxo_de_Caixa_Janeiro3459117101215[[#This Row],[OUTUBRO]]</f>
        <v>0</v>
      </c>
      <c r="M227" s="306">
        <f>Fluxo_de_Caixa_Janeiro345911710121516[[#This Row],[NOVEMBRO]]</f>
        <v>0</v>
      </c>
      <c r="N227" s="306">
        <f>Fluxo_de_Caixa_Janeiro34591171012151619[[#This Row],[DEZEMBRO]]</f>
        <v>0</v>
      </c>
      <c r="O227" s="396">
        <f>SUM(Fluxo_de_Caixa_Janeiro31020817[[#This Row],[Janeiro]:[Dezembro]])</f>
        <v>0</v>
      </c>
      <c r="P227" s="398"/>
      <c r="Q227" s="399"/>
      <c r="R227" s="32"/>
    </row>
    <row r="228" spans="2:26" x14ac:dyDescent="0.25">
      <c r="B228" s="378" t="str">
        <f>Fluxo_de_Caixa_Janeiro[[#This Row],[Fluxo de Caixa 2026 CTR]]</f>
        <v>3.8.16. CRF Sobre Serviço</v>
      </c>
      <c r="C228" s="357"/>
      <c r="D228" s="306"/>
      <c r="E228" s="306"/>
      <c r="F228" s="306"/>
      <c r="G228" s="306"/>
      <c r="H228" s="306"/>
      <c r="I228" s="357">
        <f>Fluxo_de_Caixa_Janeiro3459117[[#This Row],[JULHO]]</f>
        <v>0</v>
      </c>
      <c r="J228" s="306">
        <f>Fluxo_de_Caixa_Janeiro345911710[[#This Row],[AGOSTO]]</f>
        <v>0</v>
      </c>
      <c r="K228" s="306">
        <f>Fluxo_de_Caixa_Janeiro34591171012[[#This Row],[SETEMBRO]]</f>
        <v>0</v>
      </c>
      <c r="L228" s="306">
        <f>Fluxo_de_Caixa_Janeiro3459117101215[[#This Row],[OUTUBRO]]</f>
        <v>0</v>
      </c>
      <c r="M228" s="306">
        <f>Fluxo_de_Caixa_Janeiro345911710121516[[#This Row],[NOVEMBRO]]</f>
        <v>0</v>
      </c>
      <c r="N228" s="306">
        <f>Fluxo_de_Caixa_Janeiro34591171012151619[[#This Row],[DEZEMBRO]]</f>
        <v>0</v>
      </c>
      <c r="O228" s="396">
        <f>SUM(Fluxo_de_Caixa_Janeiro31020817[[#This Row],[Janeiro]:[Dezembro]])</f>
        <v>0</v>
      </c>
      <c r="P228" s="398"/>
      <c r="Q228" s="399"/>
      <c r="R228" s="32"/>
    </row>
    <row r="229" spans="2:26" x14ac:dyDescent="0.25">
      <c r="B229" s="378">
        <f>Fluxo_de_Caixa_Janeiro[[#This Row],[Fluxo de Caixa 2026 CTR]]</f>
        <v>0</v>
      </c>
      <c r="C229" s="357"/>
      <c r="D229" s="306"/>
      <c r="E229" s="306"/>
      <c r="F229" s="306"/>
      <c r="G229" s="306"/>
      <c r="H229" s="306"/>
      <c r="I229" s="357">
        <f>Fluxo_de_Caixa_Janeiro3459117[[#This Row],[JULHO]]</f>
        <v>0</v>
      </c>
      <c r="J229" s="306">
        <f>Fluxo_de_Caixa_Janeiro345911710[[#This Row],[AGOSTO]]</f>
        <v>0</v>
      </c>
      <c r="K229" s="306">
        <f>Fluxo_de_Caixa_Janeiro34591171012[[#This Row],[SETEMBRO]]</f>
        <v>0</v>
      </c>
      <c r="L229" s="306">
        <f>Fluxo_de_Caixa_Janeiro3459117101215[[#This Row],[OUTUBRO]]</f>
        <v>0</v>
      </c>
      <c r="M229" s="306">
        <f>Fluxo_de_Caixa_Janeiro345911710121516[[#This Row],[NOVEMBRO]]</f>
        <v>0</v>
      </c>
      <c r="N229" s="306">
        <f>Fluxo_de_Caixa_Janeiro34591171012151619[[#This Row],[DEZEMBRO]]</f>
        <v>0</v>
      </c>
      <c r="O229" s="396">
        <f>SUM(Fluxo_de_Caixa_Janeiro31020817[[#This Row],[Janeiro]:[Dezembro]])</f>
        <v>0</v>
      </c>
      <c r="P229" s="398"/>
      <c r="Q229" s="399"/>
      <c r="R229" s="32"/>
    </row>
    <row r="230" spans="2:26" ht="15.75" thickBot="1" x14ac:dyDescent="0.3">
      <c r="B230" s="389">
        <f>Fluxo_de_Caixa_Janeiro[[#This Row],[Fluxo de Caixa 2026 CTR]]</f>
        <v>0</v>
      </c>
      <c r="C230" s="366"/>
      <c r="D230" s="367"/>
      <c r="E230" s="367"/>
      <c r="F230" s="367"/>
      <c r="G230" s="367"/>
      <c r="H230" s="367"/>
      <c r="I230" s="366">
        <f>Fluxo_de_Caixa_Janeiro3459117[[#This Row],[JULHO]]</f>
        <v>0</v>
      </c>
      <c r="J230" s="367">
        <f>Fluxo_de_Caixa_Janeiro345911710[[#This Row],[AGOSTO]]</f>
        <v>0</v>
      </c>
      <c r="K230" s="367">
        <f>Fluxo_de_Caixa_Janeiro34591171012[[#This Row],[SETEMBRO]]</f>
        <v>0</v>
      </c>
      <c r="L230" s="367">
        <f>Fluxo_de_Caixa_Janeiro3459117101215[[#This Row],[OUTUBRO]]</f>
        <v>0</v>
      </c>
      <c r="M230" s="367">
        <f>Fluxo_de_Caixa_Janeiro345911710121516[[#This Row],[NOVEMBRO]]</f>
        <v>0</v>
      </c>
      <c r="N230" s="368">
        <f>Fluxo_de_Caixa_Janeiro34591171012151619[[#This Row],[DEZEMBRO]]</f>
        <v>0</v>
      </c>
      <c r="O230" s="400">
        <f>SUM(Fluxo_de_Caixa_Janeiro31020817[[#This Row],[Janeiro]:[Dezembro]])</f>
        <v>0</v>
      </c>
      <c r="P230" s="401"/>
      <c r="Q230" s="402"/>
      <c r="R230" s="32"/>
    </row>
    <row r="231" spans="2:26" ht="19.5" thickBot="1" x14ac:dyDescent="0.35">
      <c r="B231" s="277" t="str">
        <f>Fluxo_de_Caixa_Janeiro[[#This Row],[Fluxo de Caixa 2026 CTR]]</f>
        <v>3.9. PATROCINIO / BONIFICAÇÃO</v>
      </c>
      <c r="C231" s="158"/>
      <c r="D231" s="97"/>
      <c r="E231" s="97"/>
      <c r="F231" s="97"/>
      <c r="G231" s="97"/>
      <c r="H231" s="97"/>
      <c r="I231" s="158">
        <f>Fluxo_de_Caixa_Janeiro3459117[[#This Row],[JULHO]]</f>
        <v>0</v>
      </c>
      <c r="J231" s="97">
        <f>Fluxo_de_Caixa_Janeiro345911710[[#This Row],[AGOSTO]]</f>
        <v>0</v>
      </c>
      <c r="K231" s="97">
        <f>Fluxo_de_Caixa_Janeiro34591171012[[#This Row],[SETEMBRO]]</f>
        <v>0</v>
      </c>
      <c r="L231" s="97">
        <f>Fluxo_de_Caixa_Janeiro3459117101215[[#This Row],[OUTUBRO]]</f>
        <v>0</v>
      </c>
      <c r="M231" s="97">
        <f>Fluxo_de_Caixa_Janeiro345911710121516[[#This Row],[NOVEMBRO]]</f>
        <v>0</v>
      </c>
      <c r="N231" s="129">
        <f>Fluxo_de_Caixa_Janeiro34591171012151619[[#This Row],[DEZEMBRO]]</f>
        <v>0</v>
      </c>
      <c r="O231" s="226">
        <f>SUM(Fluxo_de_Caixa_Janeiro31020817[[#This Row],[Janeiro]:[Dezembro]])</f>
        <v>0</v>
      </c>
      <c r="P231" s="144">
        <f>-IFERROR(C231/$C$27,"0,00")</f>
        <v>0</v>
      </c>
      <c r="Q231" s="98"/>
      <c r="R231" s="32"/>
    </row>
    <row r="232" spans="2:26" x14ac:dyDescent="0.25">
      <c r="B232" s="378" t="str">
        <f>Fluxo_de_Caixa_Janeiro[[#This Row],[Fluxo de Caixa 2026 CTR]]</f>
        <v>3.9.01.PATROCÍNIO  EM DINHEIRO</v>
      </c>
      <c r="C232" s="366"/>
      <c r="D232" s="367"/>
      <c r="E232" s="367"/>
      <c r="F232" s="367"/>
      <c r="G232" s="367"/>
      <c r="H232" s="367"/>
      <c r="I232" s="366">
        <f>Fluxo_de_Caixa_Janeiro3459117[[#This Row],[JULHO]]</f>
        <v>0</v>
      </c>
      <c r="J232" s="367">
        <f>Fluxo_de_Caixa_Janeiro345911710[[#This Row],[AGOSTO]]</f>
        <v>0</v>
      </c>
      <c r="K232" s="367">
        <f>Fluxo_de_Caixa_Janeiro34591171012[[#This Row],[SETEMBRO]]</f>
        <v>0</v>
      </c>
      <c r="L232" s="367">
        <f>Fluxo_de_Caixa_Janeiro3459117101215[[#This Row],[OUTUBRO]]</f>
        <v>0</v>
      </c>
      <c r="M232" s="367">
        <f>Fluxo_de_Caixa_Janeiro345911710121516[[#This Row],[NOVEMBRO]]</f>
        <v>0</v>
      </c>
      <c r="N232" s="368">
        <f>Fluxo_de_Caixa_Janeiro34591171012151619[[#This Row],[DEZEMBRO]]</f>
        <v>0</v>
      </c>
      <c r="O232" s="224">
        <f>SUM(Fluxo_de_Caixa_Janeiro31020817[[#This Row],[Janeiro]:[Dezembro]])</f>
        <v>0</v>
      </c>
      <c r="P232" s="194" t="str">
        <f>IFERROR(O232/$O$27,"0,00%")</f>
        <v>0,00%</v>
      </c>
      <c r="Q232" s="75"/>
      <c r="R232" s="32"/>
    </row>
    <row r="233" spans="2:26" x14ac:dyDescent="0.25">
      <c r="B233" s="55" t="str">
        <f>Fluxo_de_Caixa_Janeiro[[#This Row],[Fluxo de Caixa 2026 CTR]]</f>
        <v>3.9.02.BONIFICAÇÃO EM PRODUTOS</v>
      </c>
      <c r="C233" s="35"/>
      <c r="D233" s="62"/>
      <c r="E233" s="62"/>
      <c r="F233" s="62"/>
      <c r="G233" s="62"/>
      <c r="H233" s="62"/>
      <c r="I233" s="35">
        <f>Fluxo_de_Caixa_Janeiro3459117[[#This Row],[JULHO]]</f>
        <v>0</v>
      </c>
      <c r="J233" s="62">
        <f>Fluxo_de_Caixa_Janeiro345911710[[#This Row],[AGOSTO]]</f>
        <v>0</v>
      </c>
      <c r="K233" s="62">
        <f>Fluxo_de_Caixa_Janeiro34591171012[[#This Row],[SETEMBRO]]</f>
        <v>0</v>
      </c>
      <c r="L233" s="62">
        <f>Fluxo_de_Caixa_Janeiro3459117101215[[#This Row],[OUTUBRO]]</f>
        <v>0</v>
      </c>
      <c r="M233" s="62">
        <f>Fluxo_de_Caixa_Janeiro345911710121516[[#This Row],[NOVEMBRO]]</f>
        <v>0</v>
      </c>
      <c r="N233" s="119">
        <f>Fluxo_de_Caixa_Janeiro34591171012151619[[#This Row],[DEZEMBRO]]</f>
        <v>0</v>
      </c>
      <c r="O233" s="224">
        <f>SUM(Fluxo_de_Caixa_Janeiro31020817[[#This Row],[Janeiro]:[Dezembro]])</f>
        <v>0</v>
      </c>
      <c r="P233" s="194" t="str">
        <f>IFERROR(O233/$O$27,"0,00%")</f>
        <v>0,00%</v>
      </c>
      <c r="Q233" s="75"/>
      <c r="R233" s="32" t="str">
        <f>IF(Fluxo_de_Caixa_Janeiro31020817[[#This Row],[% ACUMULADO  2º SEMEST 2025]]&lt;=Fluxo_de_Caixa_Janeiro31020817[[#This Row],[Coluna1]],"VERDADEIRO","FALSO")</f>
        <v>FALSO</v>
      </c>
    </row>
    <row r="234" spans="2:26" x14ac:dyDescent="0.25">
      <c r="B234" s="55">
        <f>Fluxo_de_Caixa_Janeiro[[#This Row],[Fluxo de Caixa 2026 CTR]]</f>
        <v>0</v>
      </c>
      <c r="C234" s="35"/>
      <c r="D234" s="62"/>
      <c r="E234" s="62"/>
      <c r="F234" s="62"/>
      <c r="G234" s="62"/>
      <c r="H234" s="62"/>
      <c r="I234" s="35">
        <f>Fluxo_de_Caixa_Janeiro3459117[[#This Row],[JULHO]]</f>
        <v>0</v>
      </c>
      <c r="J234" s="62">
        <f>Fluxo_de_Caixa_Janeiro345911710[[#This Row],[AGOSTO]]</f>
        <v>0</v>
      </c>
      <c r="K234" s="62">
        <f>Fluxo_de_Caixa_Janeiro34591171012[[#This Row],[SETEMBRO]]</f>
        <v>0</v>
      </c>
      <c r="L234" s="62">
        <f>Fluxo_de_Caixa_Janeiro3459117101215[[#This Row],[OUTUBRO]]</f>
        <v>0</v>
      </c>
      <c r="M234" s="62">
        <f>Fluxo_de_Caixa_Janeiro345911710121516[[#This Row],[NOVEMBRO]]</f>
        <v>0</v>
      </c>
      <c r="N234" s="119">
        <f>Fluxo_de_Caixa_Janeiro34591171012151619[[#This Row],[DEZEMBRO]]</f>
        <v>0</v>
      </c>
      <c r="O234" s="224">
        <f>SUM(Fluxo_de_Caixa_Janeiro31020817[[#This Row],[Janeiro]:[Dezembro]])</f>
        <v>0</v>
      </c>
      <c r="P234" s="194" t="str">
        <f>IFERROR(O234/$O$27,"0,00%")</f>
        <v>0,00%</v>
      </c>
      <c r="Q234" s="75"/>
      <c r="R234" s="32" t="str">
        <f>IF(Fluxo_de_Caixa_Janeiro31020817[[#This Row],[% ACUMULADO  2º SEMEST 2025]]&lt;=Fluxo_de_Caixa_Janeiro31020817[[#This Row],[Coluna1]],"VERDADEIRO","FALSO")</f>
        <v>FALSO</v>
      </c>
    </row>
    <row r="235" spans="2:26" ht="15.75" thickBot="1" x14ac:dyDescent="0.3">
      <c r="B235" s="276">
        <f>Fluxo_de_Caixa_Janeiro[[#This Row],[Fluxo de Caixa 2026 CTR]]</f>
        <v>0</v>
      </c>
      <c r="C235" s="36"/>
      <c r="D235" s="82"/>
      <c r="E235" s="82"/>
      <c r="F235" s="82"/>
      <c r="G235" s="82"/>
      <c r="H235" s="82"/>
      <c r="I235" s="36">
        <f>Fluxo_de_Caixa_Janeiro3459117[[#This Row],[JULHO]]</f>
        <v>0</v>
      </c>
      <c r="J235" s="82">
        <f>Fluxo_de_Caixa_Janeiro345911710[[#This Row],[AGOSTO]]</f>
        <v>0</v>
      </c>
      <c r="K235" s="82">
        <f>Fluxo_de_Caixa_Janeiro34591171012[[#This Row],[SETEMBRO]]</f>
        <v>0</v>
      </c>
      <c r="L235" s="82">
        <f>Fluxo_de_Caixa_Janeiro3459117101215[[#This Row],[OUTUBRO]]</f>
        <v>0</v>
      </c>
      <c r="M235" s="82">
        <f>Fluxo_de_Caixa_Janeiro345911710121516[[#This Row],[NOVEMBRO]]</f>
        <v>0</v>
      </c>
      <c r="N235" s="120">
        <f>Fluxo_de_Caixa_Janeiro34591171012151619[[#This Row],[DEZEMBRO]]</f>
        <v>0</v>
      </c>
      <c r="O235" s="225">
        <f>SUM(Fluxo_de_Caixa_Janeiro31020817[[#This Row],[Janeiro]:[Dezembro]])</f>
        <v>0</v>
      </c>
      <c r="P235" s="195" t="str">
        <f>IFERROR(O235/$O$27,"0,00%")</f>
        <v>0,00%</v>
      </c>
      <c r="Q235" s="96"/>
      <c r="R235" s="32" t="str">
        <f>IF(Fluxo_de_Caixa_Janeiro31020817[[#This Row],[% ACUMULADO  2º SEMEST 2025]]&lt;=Fluxo_de_Caixa_Janeiro31020817[[#This Row],[Coluna1]],"VERDADEIRO","FALSO")</f>
        <v>FALSO</v>
      </c>
    </row>
    <row r="236" spans="2:26" ht="27.6" customHeight="1" thickBot="1" x14ac:dyDescent="0.4">
      <c r="B236" s="170" t="str">
        <f>Fluxo_de_Caixa_Janeiro[[#This Row],[Fluxo de Caixa 2026 CTR]]</f>
        <v>Total das Despesas Operacionais</v>
      </c>
      <c r="C236" s="159"/>
      <c r="D236" s="100"/>
      <c r="E236" s="100"/>
      <c r="F236" s="100"/>
      <c r="G236" s="100"/>
      <c r="H236" s="100"/>
      <c r="I236" s="159">
        <f>Fluxo_de_Caixa_Janeiro3459117[[#This Row],[JULHO]]</f>
        <v>0</v>
      </c>
      <c r="J236" s="100">
        <f>Fluxo_de_Caixa_Janeiro345911710[[#This Row],[AGOSTO]]</f>
        <v>0</v>
      </c>
      <c r="K236" s="100">
        <f>Fluxo_de_Caixa_Janeiro34591171012[[#This Row],[SETEMBRO]]</f>
        <v>0</v>
      </c>
      <c r="L236" s="100">
        <f>Fluxo_de_Caixa_Janeiro3459117101215[[#This Row],[OUTUBRO]]</f>
        <v>0</v>
      </c>
      <c r="M236" s="100">
        <f>Fluxo_de_Caixa_Janeiro345911710121516[[#This Row],[NOVEMBRO]]</f>
        <v>0</v>
      </c>
      <c r="N236" s="130">
        <f>Fluxo_de_Caixa_Janeiro34591171012151619[[#This Row],[DEZEMBRO]]</f>
        <v>0</v>
      </c>
      <c r="O236" s="227">
        <f>SUM(Fluxo_de_Caixa_Janeiro31020817[[#This Row],[Janeiro]:[Dezembro]])</f>
        <v>0</v>
      </c>
      <c r="P236" s="196" t="str">
        <f>IFERROR(O236/O27,"0,00%")</f>
        <v>0,00%</v>
      </c>
      <c r="Q236" s="101"/>
      <c r="R236" s="32" t="str">
        <f>IF(Fluxo_de_Caixa_Janeiro31020817[[#This Row],[% ACUMULADO  2º SEMEST 2025]]&gt;=Fluxo_de_Caixa_Janeiro31020817[[#This Row],[Coluna1]],"VERDADEIRO","FALSO")</f>
        <v>VERDADEIRO</v>
      </c>
    </row>
    <row r="237" spans="2:26" ht="27" thickBot="1" x14ac:dyDescent="0.45">
      <c r="B237" s="171" t="str">
        <f>Fluxo_de_Caixa_Janeiro[[#This Row],[Fluxo de Caixa 2026 CTR]]</f>
        <v>Saldo Operacional Liquido</v>
      </c>
      <c r="C237" s="160"/>
      <c r="D237" s="102"/>
      <c r="E237" s="102"/>
      <c r="F237" s="102"/>
      <c r="G237" s="102"/>
      <c r="H237" s="102"/>
      <c r="I237" s="160">
        <f>Fluxo_de_Caixa_Janeiro3459117[[#This Row],[JULHO]]</f>
        <v>0</v>
      </c>
      <c r="J237" s="102">
        <f>Fluxo_de_Caixa_Janeiro345911710[[#This Row],[AGOSTO]]</f>
        <v>0</v>
      </c>
      <c r="K237" s="102">
        <f>Fluxo_de_Caixa_Janeiro34591171012[[#This Row],[SETEMBRO]]</f>
        <v>0</v>
      </c>
      <c r="L237" s="102">
        <f>Fluxo_de_Caixa_Janeiro3459117101215[[#This Row],[OUTUBRO]]</f>
        <v>0</v>
      </c>
      <c r="M237" s="102">
        <f>Fluxo_de_Caixa_Janeiro345911710121516[[#This Row],[NOVEMBRO]]</f>
        <v>0</v>
      </c>
      <c r="N237" s="131">
        <f>Fluxo_de_Caixa_Janeiro34591171012151619[[#This Row],[DEZEMBRO]]</f>
        <v>0</v>
      </c>
      <c r="O237" s="228">
        <f>SUM(Fluxo_de_Caixa_Janeiro31020817[[#This Row],[Janeiro]:[Dezembro]])</f>
        <v>0</v>
      </c>
      <c r="P237" s="197" t="str">
        <f>IFERROR(O237/O27,"0,00%")</f>
        <v>0,00%</v>
      </c>
      <c r="Q237" s="99"/>
      <c r="R237" s="32" t="str">
        <f>IF(Fluxo_de_Caixa_Janeiro31020817[[#This Row],[% ACUMULADO  2º SEMEST 2025]]&gt;=Fluxo_de_Caixa_Janeiro31020817[[#This Row],[Coluna1]],"VERDADEIRO","FALSO")</f>
        <v>VERDADEIRO</v>
      </c>
      <c r="S237" s="1"/>
      <c r="T237" s="1"/>
      <c r="U237" s="1"/>
      <c r="V237" s="1"/>
      <c r="W237" s="1"/>
      <c r="X237" s="1"/>
      <c r="Y237" s="1"/>
      <c r="Z237" s="1"/>
    </row>
    <row r="238" spans="2:26" s="1" customFormat="1" ht="24" thickBot="1" x14ac:dyDescent="0.4">
      <c r="B238" s="172" t="str">
        <f>Fluxo_de_Caixa_Janeiro[[#This Row],[Fluxo de Caixa 2026 CTR]]</f>
        <v>Receitas Não Operacionais Totais</v>
      </c>
      <c r="C238" s="161"/>
      <c r="D238" s="103"/>
      <c r="E238" s="103"/>
      <c r="F238" s="103"/>
      <c r="G238" s="103"/>
      <c r="H238" s="103"/>
      <c r="I238" s="161">
        <f>Fluxo_de_Caixa_Janeiro3459117[[#This Row],[JULHO]]</f>
        <v>0</v>
      </c>
      <c r="J238" s="103">
        <f>Fluxo_de_Caixa_Janeiro345911710[[#This Row],[AGOSTO]]</f>
        <v>0</v>
      </c>
      <c r="K238" s="103">
        <f>Fluxo_de_Caixa_Janeiro34591171012[[#This Row],[SETEMBRO]]</f>
        <v>0</v>
      </c>
      <c r="L238" s="103">
        <f>Fluxo_de_Caixa_Janeiro3459117101215[[#This Row],[OUTUBRO]]</f>
        <v>0</v>
      </c>
      <c r="M238" s="103">
        <f>Fluxo_de_Caixa_Janeiro345911710121516[[#This Row],[NOVEMBRO]]</f>
        <v>0</v>
      </c>
      <c r="N238" s="132">
        <f>Fluxo_de_Caixa_Janeiro34591171012151619[[#This Row],[DEZEMBRO]]</f>
        <v>0</v>
      </c>
      <c r="O238" s="229">
        <f>SUM(Fluxo_de_Caixa_Janeiro31020817[[#This Row],[Janeiro]:[Dezembro]])</f>
        <v>0</v>
      </c>
      <c r="P238" s="145">
        <f>SUM(P239,P248,P261)</f>
        <v>0</v>
      </c>
      <c r="Q238" s="145"/>
      <c r="R238" s="32" t="str">
        <f>IF(Fluxo_de_Caixa_Janeiro31020817[[#This Row],[% ACUMULADO  2º SEMEST 2025]]&gt;=Fluxo_de_Caixa_Janeiro31020817[[#This Row],[Coluna1]],"VERDADEIRO","FALSO")</f>
        <v>VERDADEIRO</v>
      </c>
    </row>
    <row r="239" spans="2:26" s="1" customFormat="1" ht="24" thickBot="1" x14ac:dyDescent="0.4">
      <c r="B239" s="57" t="str">
        <f>Fluxo_de_Caixa_Janeiro[[#This Row],[Fluxo de Caixa 2026 CTR]]</f>
        <v>4.1. Receita de Empréstimo</v>
      </c>
      <c r="C239" s="44"/>
      <c r="D239" s="85"/>
      <c r="E239" s="85"/>
      <c r="F239" s="85"/>
      <c r="G239" s="85"/>
      <c r="H239" s="85"/>
      <c r="I239" s="44">
        <f>Fluxo_de_Caixa_Janeiro3459117[[#This Row],[JULHO]]</f>
        <v>0</v>
      </c>
      <c r="J239" s="85">
        <f>Fluxo_de_Caixa_Janeiro345911710[[#This Row],[AGOSTO]]</f>
        <v>0</v>
      </c>
      <c r="K239" s="85">
        <f>Fluxo_de_Caixa_Janeiro34591171012[[#This Row],[SETEMBRO]]</f>
        <v>0</v>
      </c>
      <c r="L239" s="85">
        <f>Fluxo_de_Caixa_Janeiro3459117101215[[#This Row],[OUTUBRO]]</f>
        <v>0</v>
      </c>
      <c r="M239" s="85">
        <f>Fluxo_de_Caixa_Janeiro345911710121516[[#This Row],[NOVEMBRO]]</f>
        <v>0</v>
      </c>
      <c r="N239" s="122">
        <f>Fluxo_de_Caixa_Janeiro34591171012151619[[#This Row],[DEZEMBRO]]</f>
        <v>0</v>
      </c>
      <c r="O239" s="212">
        <f>SUM(Fluxo_de_Caixa_Janeiro31020817[[#This Row],[Janeiro]:[Dezembro]])</f>
        <v>0</v>
      </c>
      <c r="P239" s="25" t="str">
        <f t="shared" ref="P239:P271" si="12">IF(O239=0,"0,00%",O239/$O$332)</f>
        <v>0,00%</v>
      </c>
      <c r="Q239" s="25"/>
      <c r="R239" s="32" t="str">
        <f>IF(Fluxo_de_Caixa_Janeiro31020817[[#This Row],[% ACUMULADO  2º SEMEST 2025]]&gt;=Fluxo_de_Caixa_Janeiro31020817[[#This Row],[Coluna1]],"VERDADEIRO","FALSO")</f>
        <v>VERDADEIRO</v>
      </c>
    </row>
    <row r="240" spans="2:26" x14ac:dyDescent="0.25">
      <c r="B240" s="49" t="str">
        <f>Fluxo_de_Caixa_Janeiro[[#This Row],[Fluxo de Caixa 2026 CTR]]</f>
        <v>4.1.01 Bancário</v>
      </c>
      <c r="C240" s="41"/>
      <c r="D240" s="81"/>
      <c r="E240" s="81"/>
      <c r="F240" s="81"/>
      <c r="G240" s="81"/>
      <c r="H240" s="81"/>
      <c r="I240" s="41">
        <f>Fluxo_de_Caixa_Janeiro3459117[[#This Row],[JULHO]]</f>
        <v>0</v>
      </c>
      <c r="J240" s="81">
        <f>Fluxo_de_Caixa_Janeiro345911710[[#This Row],[AGOSTO]]</f>
        <v>0</v>
      </c>
      <c r="K240" s="81">
        <f>Fluxo_de_Caixa_Janeiro34591171012[[#This Row],[SETEMBRO]]</f>
        <v>0</v>
      </c>
      <c r="L240" s="81">
        <f>Fluxo_de_Caixa_Janeiro3459117101215[[#This Row],[OUTUBRO]]</f>
        <v>0</v>
      </c>
      <c r="M240" s="81">
        <f>Fluxo_de_Caixa_Janeiro345911710121516[[#This Row],[NOVEMBRO]]</f>
        <v>0</v>
      </c>
      <c r="N240" s="118">
        <f>Fluxo_de_Caixa_Janeiro34591171012151619[[#This Row],[DEZEMBRO]]</f>
        <v>0</v>
      </c>
      <c r="O240" s="230">
        <f>SUM(Fluxo_de_Caixa_Janeiro31020817[[#This Row],[Janeiro]:[Dezembro]])</f>
        <v>0</v>
      </c>
      <c r="P240" s="29" t="str">
        <f t="shared" si="12"/>
        <v>0,00%</v>
      </c>
      <c r="Q240" s="20"/>
      <c r="R240" s="32" t="str">
        <f>IF(Fluxo_de_Caixa_Janeiro31020817[[#This Row],[% ACUMULADO  2º SEMEST 2025]]&gt;=Fluxo_de_Caixa_Janeiro31020817[[#This Row],[Coluna1]],"VERDADEIRO","FALSO")</f>
        <v>VERDADEIRO</v>
      </c>
    </row>
    <row r="241" spans="2:18" x14ac:dyDescent="0.25">
      <c r="B241" s="49" t="str">
        <f>Fluxo_de_Caixa_Janeiro[[#This Row],[Fluxo de Caixa 2026 CTR]]</f>
        <v>4.1.02 Financiamento</v>
      </c>
      <c r="C241" s="35"/>
      <c r="D241" s="62"/>
      <c r="E241" s="62"/>
      <c r="F241" s="62"/>
      <c r="G241" s="62"/>
      <c r="H241" s="62"/>
      <c r="I241" s="35">
        <f>Fluxo_de_Caixa_Janeiro3459117[[#This Row],[JULHO]]</f>
        <v>0</v>
      </c>
      <c r="J241" s="62">
        <f>Fluxo_de_Caixa_Janeiro345911710[[#This Row],[AGOSTO]]</f>
        <v>0</v>
      </c>
      <c r="K241" s="62">
        <f>Fluxo_de_Caixa_Janeiro34591171012[[#This Row],[SETEMBRO]]</f>
        <v>0</v>
      </c>
      <c r="L241" s="62">
        <f>Fluxo_de_Caixa_Janeiro3459117101215[[#This Row],[OUTUBRO]]</f>
        <v>0</v>
      </c>
      <c r="M241" s="62">
        <f>Fluxo_de_Caixa_Janeiro345911710121516[[#This Row],[NOVEMBRO]]</f>
        <v>0</v>
      </c>
      <c r="N241" s="119">
        <f>Fluxo_de_Caixa_Janeiro34591171012151619[[#This Row],[DEZEMBRO]]</f>
        <v>0</v>
      </c>
      <c r="O241" s="231">
        <f>SUM(Fluxo_de_Caixa_Janeiro31020817[[#This Row],[Janeiro]:[Dezembro]])</f>
        <v>0</v>
      </c>
      <c r="P241" s="140" t="str">
        <f t="shared" si="12"/>
        <v>0,00%</v>
      </c>
      <c r="Q241" s="24"/>
      <c r="R241" s="32" t="str">
        <f>IF(Fluxo_de_Caixa_Janeiro31020817[[#This Row],[% ACUMULADO  2º SEMEST 2025]]&gt;=Fluxo_de_Caixa_Janeiro31020817[[#This Row],[Coluna1]],"VERDADEIRO","FALSO")</f>
        <v>VERDADEIRO</v>
      </c>
    </row>
    <row r="242" spans="2:18" x14ac:dyDescent="0.25">
      <c r="B242" s="49" t="str">
        <f>Fluxo_de_Caixa_Janeiro[[#This Row],[Fluxo de Caixa 2026 CTR]]</f>
        <v>4.1.03 Entre Lojas do Grupo</v>
      </c>
      <c r="C242" s="35"/>
      <c r="D242" s="62"/>
      <c r="E242" s="62"/>
      <c r="F242" s="62"/>
      <c r="G242" s="62"/>
      <c r="H242" s="62"/>
      <c r="I242" s="35">
        <f>Fluxo_de_Caixa_Janeiro3459117[[#This Row],[JULHO]]</f>
        <v>0</v>
      </c>
      <c r="J242" s="62">
        <f>Fluxo_de_Caixa_Janeiro345911710[[#This Row],[AGOSTO]]</f>
        <v>0</v>
      </c>
      <c r="K242" s="62">
        <f>Fluxo_de_Caixa_Janeiro34591171012[[#This Row],[SETEMBRO]]</f>
        <v>0</v>
      </c>
      <c r="L242" s="62">
        <f>Fluxo_de_Caixa_Janeiro3459117101215[[#This Row],[OUTUBRO]]</f>
        <v>0</v>
      </c>
      <c r="M242" s="62">
        <f>Fluxo_de_Caixa_Janeiro345911710121516[[#This Row],[NOVEMBRO]]</f>
        <v>0</v>
      </c>
      <c r="N242" s="119">
        <f>Fluxo_de_Caixa_Janeiro34591171012151619[[#This Row],[DEZEMBRO]]</f>
        <v>0</v>
      </c>
      <c r="O242" s="231">
        <f>SUM(Fluxo_de_Caixa_Janeiro31020817[[#This Row],[Janeiro]:[Dezembro]])</f>
        <v>0</v>
      </c>
      <c r="P242" s="140" t="str">
        <f t="shared" si="12"/>
        <v>0,00%</v>
      </c>
      <c r="Q242" s="24"/>
      <c r="R242" s="32" t="str">
        <f>IF(Fluxo_de_Caixa_Janeiro31020817[[#This Row],[% ACUMULADO  2º SEMEST 2025]]&gt;=Fluxo_de_Caixa_Janeiro31020817[[#This Row],[Coluna1]],"VERDADEIRO","FALSO")</f>
        <v>VERDADEIRO</v>
      </c>
    </row>
    <row r="243" spans="2:18" x14ac:dyDescent="0.25">
      <c r="B243" s="56" t="str">
        <f>Fluxo_de_Caixa_Janeiro[[#This Row],[Fluxo de Caixa 2026 CTR]]</f>
        <v>4.1.04 Pessoa Física</v>
      </c>
      <c r="C243" s="35"/>
      <c r="D243" s="62"/>
      <c r="E243" s="62"/>
      <c r="F243" s="62"/>
      <c r="G243" s="62"/>
      <c r="H243" s="62"/>
      <c r="I243" s="35">
        <f>Fluxo_de_Caixa_Janeiro3459117[[#This Row],[JULHO]]</f>
        <v>0</v>
      </c>
      <c r="J243" s="62">
        <f>Fluxo_de_Caixa_Janeiro345911710[[#This Row],[AGOSTO]]</f>
        <v>0</v>
      </c>
      <c r="K243" s="62">
        <f>Fluxo_de_Caixa_Janeiro34591171012[[#This Row],[SETEMBRO]]</f>
        <v>0</v>
      </c>
      <c r="L243" s="62">
        <f>Fluxo_de_Caixa_Janeiro3459117101215[[#This Row],[OUTUBRO]]</f>
        <v>0</v>
      </c>
      <c r="M243" s="62">
        <f>Fluxo_de_Caixa_Janeiro345911710121516[[#This Row],[NOVEMBRO]]</f>
        <v>0</v>
      </c>
      <c r="N243" s="119">
        <f>Fluxo_de_Caixa_Janeiro34591171012151619[[#This Row],[DEZEMBRO]]</f>
        <v>0</v>
      </c>
      <c r="O243" s="231">
        <f>SUM(Fluxo_de_Caixa_Janeiro31020817[[#This Row],[Janeiro]:[Dezembro]])</f>
        <v>0</v>
      </c>
      <c r="P243" s="140" t="str">
        <f t="shared" si="12"/>
        <v>0,00%</v>
      </c>
      <c r="Q243" s="24"/>
      <c r="R243" s="32" t="str">
        <f>IF(Fluxo_de_Caixa_Janeiro31020817[[#This Row],[% ACUMULADO  2º SEMEST 2025]]&gt;=Fluxo_de_Caixa_Janeiro31020817[[#This Row],[Coluna1]],"VERDADEIRO","FALSO")</f>
        <v>VERDADEIRO</v>
      </c>
    </row>
    <row r="244" spans="2:18" x14ac:dyDescent="0.25">
      <c r="B244" s="50">
        <f>Fluxo_de_Caixa_Janeiro[[#This Row],[Fluxo de Caixa 2026 CTR]]</f>
        <v>0</v>
      </c>
      <c r="C244" s="35"/>
      <c r="D244" s="62"/>
      <c r="E244" s="62"/>
      <c r="F244" s="62"/>
      <c r="G244" s="62"/>
      <c r="H244" s="62"/>
      <c r="I244" s="35">
        <f>Fluxo_de_Caixa_Janeiro3459117[[#This Row],[JULHO]]</f>
        <v>0</v>
      </c>
      <c r="J244" s="62">
        <f>Fluxo_de_Caixa_Janeiro345911710[[#This Row],[AGOSTO]]</f>
        <v>0</v>
      </c>
      <c r="K244" s="62">
        <f>Fluxo_de_Caixa_Janeiro34591171012[[#This Row],[SETEMBRO]]</f>
        <v>0</v>
      </c>
      <c r="L244" s="62">
        <f>Fluxo_de_Caixa_Janeiro3459117101215[[#This Row],[OUTUBRO]]</f>
        <v>0</v>
      </c>
      <c r="M244" s="62">
        <f>Fluxo_de_Caixa_Janeiro345911710121516[[#This Row],[NOVEMBRO]]</f>
        <v>0</v>
      </c>
      <c r="N244" s="119">
        <f>Fluxo_de_Caixa_Janeiro34591171012151619[[#This Row],[DEZEMBRO]]</f>
        <v>0</v>
      </c>
      <c r="O244" s="231">
        <f>SUM(Fluxo_de_Caixa_Janeiro31020817[[#This Row],[Janeiro]:[Dezembro]])</f>
        <v>0</v>
      </c>
      <c r="P244" s="140" t="str">
        <f t="shared" si="12"/>
        <v>0,00%</v>
      </c>
      <c r="Q244" s="24"/>
      <c r="R244" s="32" t="str">
        <f>IF(Fluxo_de_Caixa_Janeiro31020817[[#This Row],[% ACUMULADO  2º SEMEST 2025]]&gt;=Fluxo_de_Caixa_Janeiro31020817[[#This Row],[Coluna1]],"VERDADEIRO","FALSO")</f>
        <v>VERDADEIRO</v>
      </c>
    </row>
    <row r="245" spans="2:18" x14ac:dyDescent="0.25">
      <c r="B245" s="50">
        <f>Fluxo_de_Caixa_Janeiro[[#This Row],[Fluxo de Caixa 2026 CTR]]</f>
        <v>0</v>
      </c>
      <c r="C245" s="35"/>
      <c r="D245" s="62"/>
      <c r="E245" s="62"/>
      <c r="F245" s="62"/>
      <c r="G245" s="62"/>
      <c r="H245" s="62"/>
      <c r="I245" s="35">
        <f>Fluxo_de_Caixa_Janeiro3459117[[#This Row],[JULHO]]</f>
        <v>0</v>
      </c>
      <c r="J245" s="62">
        <f>Fluxo_de_Caixa_Janeiro345911710[[#This Row],[AGOSTO]]</f>
        <v>0</v>
      </c>
      <c r="K245" s="62">
        <f>Fluxo_de_Caixa_Janeiro34591171012[[#This Row],[SETEMBRO]]</f>
        <v>0</v>
      </c>
      <c r="L245" s="62">
        <f>Fluxo_de_Caixa_Janeiro3459117101215[[#This Row],[OUTUBRO]]</f>
        <v>0</v>
      </c>
      <c r="M245" s="62">
        <f>Fluxo_de_Caixa_Janeiro345911710121516[[#This Row],[NOVEMBRO]]</f>
        <v>0</v>
      </c>
      <c r="N245" s="119">
        <f>Fluxo_de_Caixa_Janeiro34591171012151619[[#This Row],[DEZEMBRO]]</f>
        <v>0</v>
      </c>
      <c r="O245" s="231">
        <f>SUM(Fluxo_de_Caixa_Janeiro31020817[[#This Row],[Janeiro]:[Dezembro]])</f>
        <v>0</v>
      </c>
      <c r="P245" s="140" t="str">
        <f t="shared" si="12"/>
        <v>0,00%</v>
      </c>
      <c r="Q245" s="24"/>
      <c r="R245" s="32" t="str">
        <f>IF(Fluxo_de_Caixa_Janeiro31020817[[#This Row],[% ACUMULADO  2º SEMEST 2025]]&gt;=Fluxo_de_Caixa_Janeiro31020817[[#This Row],[Coluna1]],"VERDADEIRO","FALSO")</f>
        <v>VERDADEIRO</v>
      </c>
    </row>
    <row r="246" spans="2:18" x14ac:dyDescent="0.25">
      <c r="B246" s="50">
        <f>Fluxo_de_Caixa_Janeiro[[#This Row],[Fluxo de Caixa 2026 CTR]]</f>
        <v>0</v>
      </c>
      <c r="C246" s="35"/>
      <c r="D246" s="62"/>
      <c r="E246" s="62"/>
      <c r="F246" s="62"/>
      <c r="G246" s="62"/>
      <c r="H246" s="62"/>
      <c r="I246" s="35">
        <f>Fluxo_de_Caixa_Janeiro3459117[[#This Row],[JULHO]]</f>
        <v>0</v>
      </c>
      <c r="J246" s="62">
        <f>Fluxo_de_Caixa_Janeiro345911710[[#This Row],[AGOSTO]]</f>
        <v>0</v>
      </c>
      <c r="K246" s="62">
        <f>Fluxo_de_Caixa_Janeiro34591171012[[#This Row],[SETEMBRO]]</f>
        <v>0</v>
      </c>
      <c r="L246" s="62">
        <f>Fluxo_de_Caixa_Janeiro3459117101215[[#This Row],[OUTUBRO]]</f>
        <v>0</v>
      </c>
      <c r="M246" s="62">
        <f>Fluxo_de_Caixa_Janeiro345911710121516[[#This Row],[NOVEMBRO]]</f>
        <v>0</v>
      </c>
      <c r="N246" s="119">
        <f>Fluxo_de_Caixa_Janeiro34591171012151619[[#This Row],[DEZEMBRO]]</f>
        <v>0</v>
      </c>
      <c r="O246" s="231">
        <f>SUM(Fluxo_de_Caixa_Janeiro31020817[[#This Row],[Janeiro]:[Dezembro]])</f>
        <v>0</v>
      </c>
      <c r="P246" s="140" t="str">
        <f t="shared" si="12"/>
        <v>0,00%</v>
      </c>
      <c r="Q246" s="24"/>
      <c r="R246" s="32" t="str">
        <f>IF(Fluxo_de_Caixa_Janeiro31020817[[#This Row],[% ACUMULADO  2º SEMEST 2025]]&gt;=Fluxo_de_Caixa_Janeiro31020817[[#This Row],[Coluna1]],"VERDADEIRO","FALSO")</f>
        <v>VERDADEIRO</v>
      </c>
    </row>
    <row r="247" spans="2:18" ht="15.75" thickBot="1" x14ac:dyDescent="0.3">
      <c r="B247" s="58">
        <f>Fluxo_de_Caixa_Janeiro[[#This Row],[Fluxo de Caixa 2026 CTR]]</f>
        <v>0</v>
      </c>
      <c r="C247" s="36"/>
      <c r="D247" s="82"/>
      <c r="E247" s="82"/>
      <c r="F247" s="82"/>
      <c r="G247" s="82"/>
      <c r="H247" s="82"/>
      <c r="I247" s="36">
        <f>Fluxo_de_Caixa_Janeiro3459117[[#This Row],[JULHO]]</f>
        <v>0</v>
      </c>
      <c r="J247" s="82">
        <f>Fluxo_de_Caixa_Janeiro345911710[[#This Row],[AGOSTO]]</f>
        <v>0</v>
      </c>
      <c r="K247" s="82">
        <f>Fluxo_de_Caixa_Janeiro34591171012[[#This Row],[SETEMBRO]]</f>
        <v>0</v>
      </c>
      <c r="L247" s="82">
        <f>Fluxo_de_Caixa_Janeiro3459117101215[[#This Row],[OUTUBRO]]</f>
        <v>0</v>
      </c>
      <c r="M247" s="82">
        <f>Fluxo_de_Caixa_Janeiro345911710121516[[#This Row],[NOVEMBRO]]</f>
        <v>0</v>
      </c>
      <c r="N247" s="120">
        <f>Fluxo_de_Caixa_Janeiro34591171012151619[[#This Row],[DEZEMBRO]]</f>
        <v>0</v>
      </c>
      <c r="O247" s="232">
        <f>SUM(Fluxo_de_Caixa_Janeiro31020817[[#This Row],[Janeiro]:[Dezembro]])</f>
        <v>0</v>
      </c>
      <c r="P247" s="141" t="str">
        <f t="shared" si="12"/>
        <v>0,00%</v>
      </c>
      <c r="Q247" s="59"/>
      <c r="R247" s="32" t="str">
        <f>IF(Fluxo_de_Caixa_Janeiro31020817[[#This Row],[% ACUMULADO  2º SEMEST 2025]]&gt;=Fluxo_de_Caixa_Janeiro31020817[[#This Row],[Coluna1]],"VERDADEIRO","FALSO")</f>
        <v>VERDADEIRO</v>
      </c>
    </row>
    <row r="248" spans="2:18" s="1" customFormat="1" ht="24" thickBot="1" x14ac:dyDescent="0.4">
      <c r="B248" s="48" t="str">
        <f>Fluxo_de_Caixa_Janeiro[[#This Row],[Fluxo de Caixa 2026 CTR]]</f>
        <v>4.2. Receita de Investimento</v>
      </c>
      <c r="C248" s="38"/>
      <c r="D248" s="87"/>
      <c r="E248" s="87"/>
      <c r="F248" s="87"/>
      <c r="G248" s="87"/>
      <c r="H248" s="87"/>
      <c r="I248" s="38">
        <f>Fluxo_de_Caixa_Janeiro3459117[[#This Row],[JULHO]]</f>
        <v>0</v>
      </c>
      <c r="J248" s="87">
        <f>Fluxo_de_Caixa_Janeiro345911710[[#This Row],[AGOSTO]]</f>
        <v>0</v>
      </c>
      <c r="K248" s="87">
        <f>Fluxo_de_Caixa_Janeiro34591171012[[#This Row],[SETEMBRO]]</f>
        <v>0</v>
      </c>
      <c r="L248" s="87">
        <f>Fluxo_de_Caixa_Janeiro3459117101215[[#This Row],[OUTUBRO]]</f>
        <v>0</v>
      </c>
      <c r="M248" s="87">
        <f>Fluxo_de_Caixa_Janeiro345911710121516[[#This Row],[NOVEMBRO]]</f>
        <v>0</v>
      </c>
      <c r="N248" s="125">
        <f>Fluxo_de_Caixa_Janeiro34591171012151619[[#This Row],[DEZEMBRO]]</f>
        <v>0</v>
      </c>
      <c r="O248" s="216">
        <f>SUM(Fluxo_de_Caixa_Janeiro31020817[[#This Row],[Janeiro]:[Dezembro]])</f>
        <v>0</v>
      </c>
      <c r="P248" s="247" t="str">
        <f t="shared" si="12"/>
        <v>0,00%</v>
      </c>
      <c r="Q248" s="19"/>
      <c r="R248" s="32" t="str">
        <f>IF(Fluxo_de_Caixa_Janeiro31020817[[#This Row],[% ACUMULADO  2º SEMEST 2025]]&gt;=Fluxo_de_Caixa_Janeiro31020817[[#This Row],[Coluna1]],"VERDADEIRO","FALSO")</f>
        <v>VERDADEIRO</v>
      </c>
    </row>
    <row r="249" spans="2:18" x14ac:dyDescent="0.25">
      <c r="B249" s="49" t="str">
        <f>Fluxo_de_Caixa_Janeiro[[#This Row],[Fluxo de Caixa 2026 CTR]]</f>
        <v>4.2.01 Venda de Imóveis/terrenos</v>
      </c>
      <c r="C249" s="41"/>
      <c r="D249" s="81"/>
      <c r="E249" s="81"/>
      <c r="F249" s="81"/>
      <c r="G249" s="81"/>
      <c r="H249" s="81"/>
      <c r="I249" s="41">
        <f>Fluxo_de_Caixa_Janeiro3459117[[#This Row],[JULHO]]</f>
        <v>0</v>
      </c>
      <c r="J249" s="81">
        <f>Fluxo_de_Caixa_Janeiro345911710[[#This Row],[AGOSTO]]</f>
        <v>0</v>
      </c>
      <c r="K249" s="81">
        <f>Fluxo_de_Caixa_Janeiro34591171012[[#This Row],[SETEMBRO]]</f>
        <v>0</v>
      </c>
      <c r="L249" s="81">
        <f>Fluxo_de_Caixa_Janeiro3459117101215[[#This Row],[OUTUBRO]]</f>
        <v>0</v>
      </c>
      <c r="M249" s="81">
        <f>Fluxo_de_Caixa_Janeiro345911710121516[[#This Row],[NOVEMBRO]]</f>
        <v>0</v>
      </c>
      <c r="N249" s="118">
        <f>Fluxo_de_Caixa_Janeiro34591171012151619[[#This Row],[DEZEMBRO]]</f>
        <v>0</v>
      </c>
      <c r="O249" s="230">
        <f>SUM(Fluxo_de_Caixa_Janeiro31020817[[#This Row],[Janeiro]:[Dezembro]])</f>
        <v>0</v>
      </c>
      <c r="P249" s="29" t="str">
        <f t="shared" si="12"/>
        <v>0,00%</v>
      </c>
      <c r="Q249" s="20"/>
      <c r="R249" s="32" t="str">
        <f>IF(Fluxo_de_Caixa_Janeiro31020817[[#This Row],[% ACUMULADO  2º SEMEST 2025]]&gt;=Fluxo_de_Caixa_Janeiro31020817[[#This Row],[Coluna1]],"VERDADEIRO","FALSO")</f>
        <v>VERDADEIRO</v>
      </c>
    </row>
    <row r="250" spans="2:18" x14ac:dyDescent="0.25">
      <c r="B250" s="49" t="str">
        <f>Fluxo_de_Caixa_Janeiro[[#This Row],[Fluxo de Caixa 2026 CTR]]</f>
        <v xml:space="preserve">4.2.02 Venda de Veículos </v>
      </c>
      <c r="C250" s="35"/>
      <c r="D250" s="62"/>
      <c r="E250" s="62"/>
      <c r="F250" s="62"/>
      <c r="G250" s="62"/>
      <c r="H250" s="62"/>
      <c r="I250" s="35">
        <f>Fluxo_de_Caixa_Janeiro3459117[[#This Row],[JULHO]]</f>
        <v>0</v>
      </c>
      <c r="J250" s="62">
        <f>Fluxo_de_Caixa_Janeiro345911710[[#This Row],[AGOSTO]]</f>
        <v>0</v>
      </c>
      <c r="K250" s="62">
        <f>Fluxo_de_Caixa_Janeiro34591171012[[#This Row],[SETEMBRO]]</f>
        <v>0</v>
      </c>
      <c r="L250" s="62">
        <f>Fluxo_de_Caixa_Janeiro3459117101215[[#This Row],[OUTUBRO]]</f>
        <v>0</v>
      </c>
      <c r="M250" s="62">
        <f>Fluxo_de_Caixa_Janeiro345911710121516[[#This Row],[NOVEMBRO]]</f>
        <v>0</v>
      </c>
      <c r="N250" s="119">
        <f>Fluxo_de_Caixa_Janeiro34591171012151619[[#This Row],[DEZEMBRO]]</f>
        <v>0</v>
      </c>
      <c r="O250" s="231">
        <f>SUM(Fluxo_de_Caixa_Janeiro31020817[[#This Row],[Janeiro]:[Dezembro]])</f>
        <v>0</v>
      </c>
      <c r="P250" s="140" t="str">
        <f t="shared" si="12"/>
        <v>0,00%</v>
      </c>
      <c r="Q250" s="24"/>
      <c r="R250" s="32" t="str">
        <f>IF(Fluxo_de_Caixa_Janeiro31020817[[#This Row],[% ACUMULADO  2º SEMEST 2025]]&gt;=Fluxo_de_Caixa_Janeiro31020817[[#This Row],[Coluna1]],"VERDADEIRO","FALSO")</f>
        <v>VERDADEIRO</v>
      </c>
    </row>
    <row r="251" spans="2:18" x14ac:dyDescent="0.25">
      <c r="B251" s="49" t="str">
        <f>Fluxo_de_Caixa_Janeiro[[#This Row],[Fluxo de Caixa 2026 CTR]]</f>
        <v xml:space="preserve">4.2.03 Resgate de Titulo de Capitalização </v>
      </c>
      <c r="C251" s="35"/>
      <c r="D251" s="62"/>
      <c r="E251" s="62"/>
      <c r="F251" s="62"/>
      <c r="G251" s="62"/>
      <c r="H251" s="62"/>
      <c r="I251" s="35">
        <f>Fluxo_de_Caixa_Janeiro3459117[[#This Row],[JULHO]]</f>
        <v>0</v>
      </c>
      <c r="J251" s="62">
        <f>Fluxo_de_Caixa_Janeiro345911710[[#This Row],[AGOSTO]]</f>
        <v>0</v>
      </c>
      <c r="K251" s="62">
        <f>Fluxo_de_Caixa_Janeiro34591171012[[#This Row],[SETEMBRO]]</f>
        <v>0</v>
      </c>
      <c r="L251" s="62">
        <f>Fluxo_de_Caixa_Janeiro3459117101215[[#This Row],[OUTUBRO]]</f>
        <v>0</v>
      </c>
      <c r="M251" s="62">
        <f>Fluxo_de_Caixa_Janeiro345911710121516[[#This Row],[NOVEMBRO]]</f>
        <v>0</v>
      </c>
      <c r="N251" s="119">
        <f>Fluxo_de_Caixa_Janeiro34591171012151619[[#This Row],[DEZEMBRO]]</f>
        <v>0</v>
      </c>
      <c r="O251" s="231">
        <f>SUM(Fluxo_de_Caixa_Janeiro31020817[[#This Row],[Janeiro]:[Dezembro]])</f>
        <v>0</v>
      </c>
      <c r="P251" s="140" t="str">
        <f t="shared" si="12"/>
        <v>0,00%</v>
      </c>
      <c r="Q251" s="24"/>
      <c r="R251" s="32" t="str">
        <f>IF(Fluxo_de_Caixa_Janeiro31020817[[#This Row],[% ACUMULADO  2º SEMEST 2025]]&gt;=Fluxo_de_Caixa_Janeiro31020817[[#This Row],[Coluna1]],"VERDADEIRO","FALSO")</f>
        <v>VERDADEIRO</v>
      </c>
    </row>
    <row r="252" spans="2:18" x14ac:dyDescent="0.25">
      <c r="B252" s="49" t="str">
        <f>Fluxo_de_Caixa_Janeiro[[#This Row],[Fluxo de Caixa 2026 CTR]]</f>
        <v xml:space="preserve">4.2.04 Resgate de Consórcio </v>
      </c>
      <c r="C252" s="35"/>
      <c r="D252" s="62"/>
      <c r="E252" s="62"/>
      <c r="F252" s="62"/>
      <c r="G252" s="62"/>
      <c r="H252" s="62"/>
      <c r="I252" s="35">
        <f>Fluxo_de_Caixa_Janeiro3459117[[#This Row],[JULHO]]</f>
        <v>0</v>
      </c>
      <c r="J252" s="62">
        <f>Fluxo_de_Caixa_Janeiro345911710[[#This Row],[AGOSTO]]</f>
        <v>0</v>
      </c>
      <c r="K252" s="62">
        <f>Fluxo_de_Caixa_Janeiro34591171012[[#This Row],[SETEMBRO]]</f>
        <v>0</v>
      </c>
      <c r="L252" s="62">
        <f>Fluxo_de_Caixa_Janeiro3459117101215[[#This Row],[OUTUBRO]]</f>
        <v>0</v>
      </c>
      <c r="M252" s="62">
        <f>Fluxo_de_Caixa_Janeiro345911710121516[[#This Row],[NOVEMBRO]]</f>
        <v>0</v>
      </c>
      <c r="N252" s="119">
        <f>Fluxo_de_Caixa_Janeiro34591171012151619[[#This Row],[DEZEMBRO]]</f>
        <v>0</v>
      </c>
      <c r="O252" s="231">
        <f>SUM(Fluxo_de_Caixa_Janeiro31020817[[#This Row],[Janeiro]:[Dezembro]])</f>
        <v>0</v>
      </c>
      <c r="P252" s="140" t="str">
        <f t="shared" si="12"/>
        <v>0,00%</v>
      </c>
      <c r="Q252" s="24"/>
      <c r="R252" s="32" t="str">
        <f>IF(Fluxo_de_Caixa_Janeiro31020817[[#This Row],[% ACUMULADO  2º SEMEST 2025]]&gt;=Fluxo_de_Caixa_Janeiro31020817[[#This Row],[Coluna1]],"VERDADEIRO","FALSO")</f>
        <v>VERDADEIRO</v>
      </c>
    </row>
    <row r="253" spans="2:18" x14ac:dyDescent="0.25">
      <c r="B253" s="49" t="str">
        <f>Fluxo_de_Caixa_Janeiro[[#This Row],[Fluxo de Caixa 2026 CTR]]</f>
        <v>4.2.05 Venda de Ativo Imobilizado</v>
      </c>
      <c r="C253" s="35"/>
      <c r="D253" s="62"/>
      <c r="E253" s="62"/>
      <c r="F253" s="62"/>
      <c r="G253" s="62"/>
      <c r="H253" s="62"/>
      <c r="I253" s="35">
        <f>Fluxo_de_Caixa_Janeiro3459117[[#This Row],[JULHO]]</f>
        <v>0</v>
      </c>
      <c r="J253" s="62">
        <f>Fluxo_de_Caixa_Janeiro345911710[[#This Row],[AGOSTO]]</f>
        <v>0</v>
      </c>
      <c r="K253" s="62">
        <f>Fluxo_de_Caixa_Janeiro34591171012[[#This Row],[SETEMBRO]]</f>
        <v>0</v>
      </c>
      <c r="L253" s="62">
        <f>Fluxo_de_Caixa_Janeiro3459117101215[[#This Row],[OUTUBRO]]</f>
        <v>0</v>
      </c>
      <c r="M253" s="62">
        <f>Fluxo_de_Caixa_Janeiro345911710121516[[#This Row],[NOVEMBRO]]</f>
        <v>0</v>
      </c>
      <c r="N253" s="119">
        <f>Fluxo_de_Caixa_Janeiro34591171012151619[[#This Row],[DEZEMBRO]]</f>
        <v>0</v>
      </c>
      <c r="O253" s="231">
        <f>SUM(Fluxo_de_Caixa_Janeiro31020817[[#This Row],[Janeiro]:[Dezembro]])</f>
        <v>0</v>
      </c>
      <c r="P253" s="140" t="str">
        <f t="shared" si="12"/>
        <v>0,00%</v>
      </c>
      <c r="Q253" s="24"/>
      <c r="R253" s="32" t="str">
        <f>IF(Fluxo_de_Caixa_Janeiro31020817[[#This Row],[% ACUMULADO  2º SEMEST 2025]]&gt;=Fluxo_de_Caixa_Janeiro31020817[[#This Row],[Coluna1]],"VERDADEIRO","FALSO")</f>
        <v>VERDADEIRO</v>
      </c>
    </row>
    <row r="254" spans="2:18" x14ac:dyDescent="0.25">
      <c r="B254" s="49" t="str">
        <f>Fluxo_de_Caixa_Janeiro[[#This Row],[Fluxo de Caixa 2026 CTR]]</f>
        <v>4.2.06 Rendimentos CDB/Fundos/Alugueis</v>
      </c>
      <c r="C254" s="35"/>
      <c r="D254" s="62"/>
      <c r="E254" s="62"/>
      <c r="F254" s="62"/>
      <c r="G254" s="62"/>
      <c r="H254" s="62"/>
      <c r="I254" s="35">
        <f>Fluxo_de_Caixa_Janeiro3459117[[#This Row],[JULHO]]</f>
        <v>0</v>
      </c>
      <c r="J254" s="62">
        <f>Fluxo_de_Caixa_Janeiro345911710[[#This Row],[AGOSTO]]</f>
        <v>0</v>
      </c>
      <c r="K254" s="62">
        <f>Fluxo_de_Caixa_Janeiro34591171012[[#This Row],[SETEMBRO]]</f>
        <v>0</v>
      </c>
      <c r="L254" s="62">
        <f>Fluxo_de_Caixa_Janeiro3459117101215[[#This Row],[OUTUBRO]]</f>
        <v>0</v>
      </c>
      <c r="M254" s="62">
        <f>Fluxo_de_Caixa_Janeiro345911710121516[[#This Row],[NOVEMBRO]]</f>
        <v>0</v>
      </c>
      <c r="N254" s="119">
        <f>Fluxo_de_Caixa_Janeiro34591171012151619[[#This Row],[DEZEMBRO]]</f>
        <v>0</v>
      </c>
      <c r="O254" s="231">
        <f>SUM(Fluxo_de_Caixa_Janeiro31020817[[#This Row],[Janeiro]:[Dezembro]])</f>
        <v>0</v>
      </c>
      <c r="P254" s="140" t="str">
        <f t="shared" si="12"/>
        <v>0,00%</v>
      </c>
      <c r="Q254" s="24"/>
      <c r="R254" s="32" t="str">
        <f>IF(Fluxo_de_Caixa_Janeiro31020817[[#This Row],[% ACUMULADO  2º SEMEST 2025]]&gt;=Fluxo_de_Caixa_Janeiro31020817[[#This Row],[Coluna1]],"VERDADEIRO","FALSO")</f>
        <v>VERDADEIRO</v>
      </c>
    </row>
    <row r="255" spans="2:18" x14ac:dyDescent="0.25">
      <c r="B255" s="49" t="str">
        <f>Fluxo_de_Caixa_Janeiro[[#This Row],[Fluxo de Caixa 2026 CTR]]</f>
        <v>4.2.07 Resgate de Capital Social</v>
      </c>
      <c r="C255" s="35"/>
      <c r="D255" s="62"/>
      <c r="E255" s="62"/>
      <c r="F255" s="62"/>
      <c r="G255" s="62"/>
      <c r="H255" s="62"/>
      <c r="I255" s="35">
        <f>Fluxo_de_Caixa_Janeiro3459117[[#This Row],[JULHO]]</f>
        <v>0</v>
      </c>
      <c r="J255" s="62">
        <f>Fluxo_de_Caixa_Janeiro345911710[[#This Row],[AGOSTO]]</f>
        <v>0</v>
      </c>
      <c r="K255" s="62">
        <f>Fluxo_de_Caixa_Janeiro34591171012[[#This Row],[SETEMBRO]]</f>
        <v>0</v>
      </c>
      <c r="L255" s="62">
        <f>Fluxo_de_Caixa_Janeiro3459117101215[[#This Row],[OUTUBRO]]</f>
        <v>0</v>
      </c>
      <c r="M255" s="62">
        <f>Fluxo_de_Caixa_Janeiro345911710121516[[#This Row],[NOVEMBRO]]</f>
        <v>0</v>
      </c>
      <c r="N255" s="119">
        <f>Fluxo_de_Caixa_Janeiro34591171012151619[[#This Row],[DEZEMBRO]]</f>
        <v>0</v>
      </c>
      <c r="O255" s="231">
        <f>SUM(Fluxo_de_Caixa_Janeiro31020817[[#This Row],[Janeiro]:[Dezembro]])</f>
        <v>0</v>
      </c>
      <c r="P255" s="140" t="str">
        <f t="shared" si="12"/>
        <v>0,00%</v>
      </c>
      <c r="Q255" s="24"/>
      <c r="R255" s="32" t="str">
        <f>IF(Fluxo_de_Caixa_Janeiro31020817[[#This Row],[% ACUMULADO  2º SEMEST 2025]]&gt;=Fluxo_de_Caixa_Janeiro31020817[[#This Row],[Coluna1]],"VERDADEIRO","FALSO")</f>
        <v>VERDADEIRO</v>
      </c>
    </row>
    <row r="256" spans="2:18" x14ac:dyDescent="0.25">
      <c r="B256" s="49" t="str">
        <f>Fluxo_de_Caixa_Janeiro[[#This Row],[Fluxo de Caixa 2026 CTR]]</f>
        <v xml:space="preserve">4.2.08.INVESTIMENTO EMPRESAS DO MESMO </v>
      </c>
      <c r="C256" s="35"/>
      <c r="D256" s="62"/>
      <c r="E256" s="62"/>
      <c r="F256" s="62"/>
      <c r="G256" s="62"/>
      <c r="H256" s="62"/>
      <c r="I256" s="35">
        <f>Fluxo_de_Caixa_Janeiro3459117[[#This Row],[JULHO]]</f>
        <v>0</v>
      </c>
      <c r="J256" s="62">
        <f>Fluxo_de_Caixa_Janeiro345911710[[#This Row],[AGOSTO]]</f>
        <v>0</v>
      </c>
      <c r="K256" s="62">
        <f>Fluxo_de_Caixa_Janeiro34591171012[[#This Row],[SETEMBRO]]</f>
        <v>0</v>
      </c>
      <c r="L256" s="62">
        <f>Fluxo_de_Caixa_Janeiro3459117101215[[#This Row],[OUTUBRO]]</f>
        <v>0</v>
      </c>
      <c r="M256" s="62">
        <f>Fluxo_de_Caixa_Janeiro345911710121516[[#This Row],[NOVEMBRO]]</f>
        <v>0</v>
      </c>
      <c r="N256" s="119">
        <f>Fluxo_de_Caixa_Janeiro34591171012151619[[#This Row],[DEZEMBRO]]</f>
        <v>0</v>
      </c>
      <c r="O256" s="231">
        <f>SUM(Fluxo_de_Caixa_Janeiro31020817[[#This Row],[Janeiro]:[Dezembro]])</f>
        <v>0</v>
      </c>
      <c r="P256" s="140" t="str">
        <f t="shared" si="12"/>
        <v>0,00%</v>
      </c>
      <c r="Q256" s="24"/>
      <c r="R256" s="32" t="str">
        <f>IF(Fluxo_de_Caixa_Janeiro31020817[[#This Row],[% ACUMULADO  2º SEMEST 2025]]&gt;=Fluxo_de_Caixa_Janeiro31020817[[#This Row],[Coluna1]],"VERDADEIRO","FALSO")</f>
        <v>VERDADEIRO</v>
      </c>
    </row>
    <row r="257" spans="2:18" x14ac:dyDescent="0.25">
      <c r="B257" s="49" t="str">
        <f>Fluxo_de_Caixa_Janeiro[[#This Row],[Fluxo de Caixa 2026 CTR]]</f>
        <v>4.2.09.APORTE DE CAPITAL SOCIAL</v>
      </c>
      <c r="C257" s="35"/>
      <c r="D257" s="62"/>
      <c r="E257" s="62"/>
      <c r="F257" s="62"/>
      <c r="G257" s="62"/>
      <c r="H257" s="62"/>
      <c r="I257" s="35">
        <f>Fluxo_de_Caixa_Janeiro3459117[[#This Row],[JULHO]]</f>
        <v>0</v>
      </c>
      <c r="J257" s="62">
        <f>Fluxo_de_Caixa_Janeiro345911710[[#This Row],[AGOSTO]]</f>
        <v>0</v>
      </c>
      <c r="K257" s="62">
        <f>Fluxo_de_Caixa_Janeiro34591171012[[#This Row],[SETEMBRO]]</f>
        <v>0</v>
      </c>
      <c r="L257" s="62">
        <f>Fluxo_de_Caixa_Janeiro3459117101215[[#This Row],[OUTUBRO]]</f>
        <v>0</v>
      </c>
      <c r="M257" s="62">
        <f>Fluxo_de_Caixa_Janeiro345911710121516[[#This Row],[NOVEMBRO]]</f>
        <v>0</v>
      </c>
      <c r="N257" s="119">
        <f>Fluxo_de_Caixa_Janeiro34591171012151619[[#This Row],[DEZEMBRO]]</f>
        <v>0</v>
      </c>
      <c r="O257" s="231">
        <f>SUM(Fluxo_de_Caixa_Janeiro31020817[[#This Row],[Janeiro]:[Dezembro]])</f>
        <v>0</v>
      </c>
      <c r="P257" s="140" t="str">
        <f t="shared" si="12"/>
        <v>0,00%</v>
      </c>
      <c r="Q257" s="24"/>
      <c r="R257" s="32" t="str">
        <f>IF(Fluxo_de_Caixa_Janeiro31020817[[#This Row],[% ACUMULADO  2º SEMEST 2025]]&gt;=Fluxo_de_Caixa_Janeiro31020817[[#This Row],[Coluna1]],"VERDADEIRO","FALSO")</f>
        <v>VERDADEIRO</v>
      </c>
    </row>
    <row r="258" spans="2:18" x14ac:dyDescent="0.25">
      <c r="B258" s="49">
        <f>Fluxo_de_Caixa_Janeiro[[#This Row],[Fluxo de Caixa 2026 CTR]]</f>
        <v>0</v>
      </c>
      <c r="C258" s="35"/>
      <c r="D258" s="62"/>
      <c r="E258" s="62"/>
      <c r="F258" s="62"/>
      <c r="G258" s="62"/>
      <c r="H258" s="62"/>
      <c r="I258" s="35">
        <f>Fluxo_de_Caixa_Janeiro3459117[[#This Row],[JULHO]]</f>
        <v>0</v>
      </c>
      <c r="J258" s="62">
        <f>Fluxo_de_Caixa_Janeiro345911710[[#This Row],[AGOSTO]]</f>
        <v>0</v>
      </c>
      <c r="K258" s="62">
        <f>Fluxo_de_Caixa_Janeiro34591171012[[#This Row],[SETEMBRO]]</f>
        <v>0</v>
      </c>
      <c r="L258" s="62">
        <f>Fluxo_de_Caixa_Janeiro3459117101215[[#This Row],[OUTUBRO]]</f>
        <v>0</v>
      </c>
      <c r="M258" s="62">
        <f>Fluxo_de_Caixa_Janeiro345911710121516[[#This Row],[NOVEMBRO]]</f>
        <v>0</v>
      </c>
      <c r="N258" s="119">
        <f>Fluxo_de_Caixa_Janeiro34591171012151619[[#This Row],[DEZEMBRO]]</f>
        <v>0</v>
      </c>
      <c r="O258" s="231">
        <f>SUM(Fluxo_de_Caixa_Janeiro31020817[[#This Row],[Janeiro]:[Dezembro]])</f>
        <v>0</v>
      </c>
      <c r="P258" s="140" t="str">
        <f t="shared" si="12"/>
        <v>0,00%</v>
      </c>
      <c r="Q258" s="24"/>
      <c r="R258" s="32" t="str">
        <f>IF(Fluxo_de_Caixa_Janeiro31020817[[#This Row],[% ACUMULADO  2º SEMEST 2025]]&gt;=Fluxo_de_Caixa_Janeiro31020817[[#This Row],[Coluna1]],"VERDADEIRO","FALSO")</f>
        <v>VERDADEIRO</v>
      </c>
    </row>
    <row r="259" spans="2:18" x14ac:dyDescent="0.25">
      <c r="B259" s="49">
        <f>Fluxo_de_Caixa_Janeiro[[#This Row],[Fluxo de Caixa 2026 CTR]]</f>
        <v>0</v>
      </c>
      <c r="C259" s="35"/>
      <c r="D259" s="62"/>
      <c r="E259" s="62"/>
      <c r="F259" s="62"/>
      <c r="G259" s="62"/>
      <c r="H259" s="62"/>
      <c r="I259" s="35">
        <f>Fluxo_de_Caixa_Janeiro3459117[[#This Row],[JULHO]]</f>
        <v>0</v>
      </c>
      <c r="J259" s="62">
        <f>Fluxo_de_Caixa_Janeiro345911710[[#This Row],[AGOSTO]]</f>
        <v>0</v>
      </c>
      <c r="K259" s="62">
        <f>Fluxo_de_Caixa_Janeiro34591171012[[#This Row],[SETEMBRO]]</f>
        <v>0</v>
      </c>
      <c r="L259" s="62">
        <f>Fluxo_de_Caixa_Janeiro3459117101215[[#This Row],[OUTUBRO]]</f>
        <v>0</v>
      </c>
      <c r="M259" s="62">
        <f>Fluxo_de_Caixa_Janeiro345911710121516[[#This Row],[NOVEMBRO]]</f>
        <v>0</v>
      </c>
      <c r="N259" s="119">
        <f>Fluxo_de_Caixa_Janeiro34591171012151619[[#This Row],[DEZEMBRO]]</f>
        <v>0</v>
      </c>
      <c r="O259" s="231">
        <f>SUM(Fluxo_de_Caixa_Janeiro31020817[[#This Row],[Janeiro]:[Dezembro]])</f>
        <v>0</v>
      </c>
      <c r="P259" s="140" t="str">
        <f t="shared" si="12"/>
        <v>0,00%</v>
      </c>
      <c r="Q259" s="24"/>
      <c r="R259" s="32" t="str">
        <f>IF(Fluxo_de_Caixa_Janeiro31020817[[#This Row],[% ACUMULADO  2º SEMEST 2025]]&gt;=Fluxo_de_Caixa_Janeiro31020817[[#This Row],[Coluna1]],"VERDADEIRO","FALSO")</f>
        <v>VERDADEIRO</v>
      </c>
    </row>
    <row r="260" spans="2:18" ht="15.75" thickBot="1" x14ac:dyDescent="0.3">
      <c r="B260" s="56">
        <f>Fluxo_de_Caixa_Janeiro[[#This Row],[Fluxo de Caixa 2026 CTR]]</f>
        <v>0</v>
      </c>
      <c r="C260" s="36"/>
      <c r="D260" s="82"/>
      <c r="E260" s="82"/>
      <c r="F260" s="82"/>
      <c r="G260" s="82"/>
      <c r="H260" s="82"/>
      <c r="I260" s="36">
        <f>Fluxo_de_Caixa_Janeiro3459117[[#This Row],[JULHO]]</f>
        <v>0</v>
      </c>
      <c r="J260" s="82">
        <f>Fluxo_de_Caixa_Janeiro345911710[[#This Row],[AGOSTO]]</f>
        <v>0</v>
      </c>
      <c r="K260" s="82">
        <f>Fluxo_de_Caixa_Janeiro34591171012[[#This Row],[SETEMBRO]]</f>
        <v>0</v>
      </c>
      <c r="L260" s="82">
        <f>Fluxo_de_Caixa_Janeiro3459117101215[[#This Row],[OUTUBRO]]</f>
        <v>0</v>
      </c>
      <c r="M260" s="82">
        <f>Fluxo_de_Caixa_Janeiro345911710121516[[#This Row],[NOVEMBRO]]</f>
        <v>0</v>
      </c>
      <c r="N260" s="120">
        <f>Fluxo_de_Caixa_Janeiro34591171012151619[[#This Row],[DEZEMBRO]]</f>
        <v>0</v>
      </c>
      <c r="O260" s="232">
        <f>SUM(Fluxo_de_Caixa_Janeiro31020817[[#This Row],[Janeiro]:[Dezembro]])</f>
        <v>0</v>
      </c>
      <c r="P260" s="141" t="str">
        <f t="shared" si="12"/>
        <v>0,00%</v>
      </c>
      <c r="Q260" s="59"/>
      <c r="R260" s="32" t="str">
        <f>IF(Fluxo_de_Caixa_Janeiro31020817[[#This Row],[% ACUMULADO  2º SEMEST 2025]]&gt;=Fluxo_de_Caixa_Janeiro31020817[[#This Row],[Coluna1]],"VERDADEIRO","FALSO")</f>
        <v>VERDADEIRO</v>
      </c>
    </row>
    <row r="261" spans="2:18" s="1" customFormat="1" ht="24" thickBot="1" x14ac:dyDescent="0.4">
      <c r="B261" s="48" t="str">
        <f>Fluxo_de_Caixa_Janeiro[[#This Row],[Fluxo de Caixa 2026 CTR]]</f>
        <v>4.3. Receitas Financeiras</v>
      </c>
      <c r="C261" s="38"/>
      <c r="D261" s="87"/>
      <c r="E261" s="87"/>
      <c r="F261" s="87"/>
      <c r="G261" s="87"/>
      <c r="H261" s="87"/>
      <c r="I261" s="38">
        <f>Fluxo_de_Caixa_Janeiro3459117[[#This Row],[JULHO]]</f>
        <v>0</v>
      </c>
      <c r="J261" s="87">
        <f>Fluxo_de_Caixa_Janeiro345911710[[#This Row],[AGOSTO]]</f>
        <v>0</v>
      </c>
      <c r="K261" s="87">
        <f>Fluxo_de_Caixa_Janeiro34591171012[[#This Row],[SETEMBRO]]</f>
        <v>0</v>
      </c>
      <c r="L261" s="87">
        <f>Fluxo_de_Caixa_Janeiro3459117101215[[#This Row],[OUTUBRO]]</f>
        <v>0</v>
      </c>
      <c r="M261" s="87">
        <f>Fluxo_de_Caixa_Janeiro345911710121516[[#This Row],[NOVEMBRO]]</f>
        <v>0</v>
      </c>
      <c r="N261" s="125">
        <f>Fluxo_de_Caixa_Janeiro34591171012151619[[#This Row],[DEZEMBRO]]</f>
        <v>0</v>
      </c>
      <c r="O261" s="216">
        <f>SUM(Fluxo_de_Caixa_Janeiro31020817[[#This Row],[Janeiro]:[Dezembro]])</f>
        <v>0</v>
      </c>
      <c r="P261" s="247" t="str">
        <f t="shared" si="12"/>
        <v>0,00%</v>
      </c>
      <c r="Q261" s="19"/>
      <c r="R261" s="32" t="str">
        <f>IF(Fluxo_de_Caixa_Janeiro31020817[[#This Row],[% ACUMULADO  2º SEMEST 2025]]&gt;=Fluxo_de_Caixa_Janeiro31020817[[#This Row],[Coluna1]],"VERDADEIRO","FALSO")</f>
        <v>VERDADEIRO</v>
      </c>
    </row>
    <row r="262" spans="2:18" x14ac:dyDescent="0.25">
      <c r="B262" s="49" t="str">
        <f>Fluxo_de_Caixa_Janeiro[[#This Row],[Fluxo de Caixa 2026 CTR]]</f>
        <v>4.3.01. JUROS E MULTAS RECEBIDOS</v>
      </c>
      <c r="C262" s="41"/>
      <c r="D262" s="81"/>
      <c r="E262" s="81"/>
      <c r="F262" s="81"/>
      <c r="G262" s="81"/>
      <c r="H262" s="81"/>
      <c r="I262" s="41">
        <f>Fluxo_de_Caixa_Janeiro3459117[[#This Row],[JULHO]]</f>
        <v>0</v>
      </c>
      <c r="J262" s="81">
        <f>Fluxo_de_Caixa_Janeiro345911710[[#This Row],[AGOSTO]]</f>
        <v>0</v>
      </c>
      <c r="K262" s="81">
        <f>Fluxo_de_Caixa_Janeiro34591171012[[#This Row],[SETEMBRO]]</f>
        <v>0</v>
      </c>
      <c r="L262" s="81">
        <f>Fluxo_de_Caixa_Janeiro3459117101215[[#This Row],[OUTUBRO]]</f>
        <v>0</v>
      </c>
      <c r="M262" s="81">
        <f>Fluxo_de_Caixa_Janeiro345911710121516[[#This Row],[NOVEMBRO]]</f>
        <v>0</v>
      </c>
      <c r="N262" s="118">
        <f>Fluxo_de_Caixa_Janeiro34591171012151619[[#This Row],[DEZEMBRO]]</f>
        <v>0</v>
      </c>
      <c r="O262" s="230">
        <f>SUM(Fluxo_de_Caixa_Janeiro31020817[[#This Row],[Janeiro]:[Dezembro]])</f>
        <v>0</v>
      </c>
      <c r="P262" s="29" t="str">
        <f t="shared" si="12"/>
        <v>0,00%</v>
      </c>
      <c r="Q262" s="20"/>
      <c r="R262" s="32" t="str">
        <f>IF(Fluxo_de_Caixa_Janeiro31020817[[#This Row],[% ACUMULADO  2º SEMEST 2025]]&gt;=Fluxo_de_Caixa_Janeiro31020817[[#This Row],[Coluna1]],"VERDADEIRO","FALSO")</f>
        <v>VERDADEIRO</v>
      </c>
    </row>
    <row r="263" spans="2:18" x14ac:dyDescent="0.25">
      <c r="B263" s="50" t="str">
        <f>Fluxo_de_Caixa_Janeiro[[#This Row],[Fluxo de Caixa 2026 CTR]]</f>
        <v>4.3.02. SOBRA ACERTO CAIXA</v>
      </c>
      <c r="C263" s="35"/>
      <c r="D263" s="62"/>
      <c r="E263" s="62"/>
      <c r="F263" s="62"/>
      <c r="G263" s="62"/>
      <c r="H263" s="62"/>
      <c r="I263" s="35">
        <f>Fluxo_de_Caixa_Janeiro3459117[[#This Row],[JULHO]]</f>
        <v>0</v>
      </c>
      <c r="J263" s="62">
        <f>Fluxo_de_Caixa_Janeiro345911710[[#This Row],[AGOSTO]]</f>
        <v>0</v>
      </c>
      <c r="K263" s="62">
        <f>Fluxo_de_Caixa_Janeiro34591171012[[#This Row],[SETEMBRO]]</f>
        <v>0</v>
      </c>
      <c r="L263" s="62">
        <f>Fluxo_de_Caixa_Janeiro3459117101215[[#This Row],[OUTUBRO]]</f>
        <v>0</v>
      </c>
      <c r="M263" s="62">
        <f>Fluxo_de_Caixa_Janeiro345911710121516[[#This Row],[NOVEMBRO]]</f>
        <v>0</v>
      </c>
      <c r="N263" s="119">
        <f>Fluxo_de_Caixa_Janeiro34591171012151619[[#This Row],[DEZEMBRO]]</f>
        <v>0</v>
      </c>
      <c r="O263" s="231">
        <f>SUM(Fluxo_de_Caixa_Janeiro31020817[[#This Row],[Janeiro]:[Dezembro]])</f>
        <v>0</v>
      </c>
      <c r="P263" s="140" t="str">
        <f t="shared" si="12"/>
        <v>0,00%</v>
      </c>
      <c r="Q263" s="24"/>
      <c r="R263" s="32" t="str">
        <f>IF(Fluxo_de_Caixa_Janeiro31020817[[#This Row],[% ACUMULADO  2º SEMEST 2025]]&gt;=Fluxo_de_Caixa_Janeiro31020817[[#This Row],[Coluna1]],"VERDADEIRO","FALSO")</f>
        <v>VERDADEIRO</v>
      </c>
    </row>
    <row r="264" spans="2:18" x14ac:dyDescent="0.25">
      <c r="B264" s="50" t="str">
        <f>Fluxo_de_Caixa_Janeiro[[#This Row],[Fluxo de Caixa 2026 CTR]]</f>
        <v>4.3.03. DESCONTOS OBTIDOS</v>
      </c>
      <c r="C264" s="35"/>
      <c r="D264" s="62"/>
      <c r="E264" s="62"/>
      <c r="F264" s="62"/>
      <c r="G264" s="62"/>
      <c r="H264" s="62"/>
      <c r="I264" s="35">
        <f>Fluxo_de_Caixa_Janeiro3459117[[#This Row],[JULHO]]</f>
        <v>0</v>
      </c>
      <c r="J264" s="62">
        <f>Fluxo_de_Caixa_Janeiro345911710[[#This Row],[AGOSTO]]</f>
        <v>0</v>
      </c>
      <c r="K264" s="62">
        <f>Fluxo_de_Caixa_Janeiro34591171012[[#This Row],[SETEMBRO]]</f>
        <v>0</v>
      </c>
      <c r="L264" s="62">
        <f>Fluxo_de_Caixa_Janeiro3459117101215[[#This Row],[OUTUBRO]]</f>
        <v>0</v>
      </c>
      <c r="M264" s="62">
        <f>Fluxo_de_Caixa_Janeiro345911710121516[[#This Row],[NOVEMBRO]]</f>
        <v>0</v>
      </c>
      <c r="N264" s="119">
        <f>Fluxo_de_Caixa_Janeiro34591171012151619[[#This Row],[DEZEMBRO]]</f>
        <v>0</v>
      </c>
      <c r="O264" s="231">
        <f>SUM(Fluxo_de_Caixa_Janeiro31020817[[#This Row],[Janeiro]:[Dezembro]])</f>
        <v>0</v>
      </c>
      <c r="P264" s="140" t="str">
        <f t="shared" si="12"/>
        <v>0,00%</v>
      </c>
      <c r="Q264" s="24"/>
      <c r="R264" s="32" t="str">
        <f>IF(Fluxo_de_Caixa_Janeiro31020817[[#This Row],[% ACUMULADO  2º SEMEST 2025]]&gt;=Fluxo_de_Caixa_Janeiro31020817[[#This Row],[Coluna1]],"VERDADEIRO","FALSO")</f>
        <v>VERDADEIRO</v>
      </c>
    </row>
    <row r="265" spans="2:18" x14ac:dyDescent="0.25">
      <c r="B265" s="50" t="str">
        <f>Fluxo_de_Caixa_Janeiro[[#This Row],[Fluxo de Caixa 2026 CTR]]</f>
        <v>4.3.04. OUTRAS RECEITAS FINANCEIRAS</v>
      </c>
      <c r="C265" s="35"/>
      <c r="D265" s="62"/>
      <c r="E265" s="62"/>
      <c r="F265" s="62"/>
      <c r="G265" s="62"/>
      <c r="H265" s="62"/>
      <c r="I265" s="35">
        <f>Fluxo_de_Caixa_Janeiro3459117[[#This Row],[JULHO]]</f>
        <v>0</v>
      </c>
      <c r="J265" s="62">
        <f>Fluxo_de_Caixa_Janeiro345911710[[#This Row],[AGOSTO]]</f>
        <v>0</v>
      </c>
      <c r="K265" s="62">
        <f>Fluxo_de_Caixa_Janeiro34591171012[[#This Row],[SETEMBRO]]</f>
        <v>0</v>
      </c>
      <c r="L265" s="62">
        <f>Fluxo_de_Caixa_Janeiro3459117101215[[#This Row],[OUTUBRO]]</f>
        <v>0</v>
      </c>
      <c r="M265" s="62">
        <f>Fluxo_de_Caixa_Janeiro345911710121516[[#This Row],[NOVEMBRO]]</f>
        <v>0</v>
      </c>
      <c r="N265" s="119">
        <f>Fluxo_de_Caixa_Janeiro34591171012151619[[#This Row],[DEZEMBRO]]</f>
        <v>0</v>
      </c>
      <c r="O265" s="231">
        <f>SUM(Fluxo_de_Caixa_Janeiro31020817[[#This Row],[Janeiro]:[Dezembro]])</f>
        <v>0</v>
      </c>
      <c r="P265" s="140" t="str">
        <f t="shared" si="12"/>
        <v>0,00%</v>
      </c>
      <c r="Q265" s="24"/>
      <c r="R265" s="32" t="str">
        <f>IF(Fluxo_de_Caixa_Janeiro31020817[[#This Row],[% ACUMULADO  2º SEMEST 2025]]&gt;=Fluxo_de_Caixa_Janeiro31020817[[#This Row],[Coluna1]],"VERDADEIRO","FALSO")</f>
        <v>VERDADEIRO</v>
      </c>
    </row>
    <row r="266" spans="2:18" x14ac:dyDescent="0.25">
      <c r="B266" s="393" t="str">
        <f>Fluxo_de_Caixa_Janeiro[[#This Row],[Fluxo de Caixa 2026 CTR]]</f>
        <v>4.3.05. RECEITA DE BRINDE E EXPOSITORES</v>
      </c>
      <c r="C266" s="357"/>
      <c r="D266" s="306"/>
      <c r="E266" s="306"/>
      <c r="F266" s="306"/>
      <c r="G266" s="306"/>
      <c r="H266" s="306"/>
      <c r="I266" s="357">
        <f>Fluxo_de_Caixa_Janeiro3459117[[#This Row],[JULHO]]</f>
        <v>0</v>
      </c>
      <c r="J266" s="306">
        <f>Fluxo_de_Caixa_Janeiro345911710[[#This Row],[AGOSTO]]</f>
        <v>0</v>
      </c>
      <c r="K266" s="306">
        <f>Fluxo_de_Caixa_Janeiro34591171012[[#This Row],[SETEMBRO]]</f>
        <v>0</v>
      </c>
      <c r="L266" s="306">
        <f>Fluxo_de_Caixa_Janeiro3459117101215[[#This Row],[OUTUBRO]]</f>
        <v>0</v>
      </c>
      <c r="M266" s="306">
        <f>Fluxo_de_Caixa_Janeiro345911710121516[[#This Row],[NOVEMBRO]]</f>
        <v>0</v>
      </c>
      <c r="N266" s="360">
        <f>Fluxo_de_Caixa_Janeiro34591171012151619[[#This Row],[DEZEMBRO]]</f>
        <v>0</v>
      </c>
      <c r="O266" s="231">
        <f>SUM(Fluxo_de_Caixa_Janeiro31020817[[#This Row],[Janeiro]:[Dezembro]])</f>
        <v>0</v>
      </c>
      <c r="P266" s="140" t="str">
        <f t="shared" si="12"/>
        <v>0,00%</v>
      </c>
      <c r="Q266" s="24"/>
      <c r="R266" s="32"/>
    </row>
    <row r="267" spans="2:18" x14ac:dyDescent="0.25">
      <c r="B267" s="364">
        <f>Fluxo_de_Caixa_Janeiro[[#This Row],[Fluxo de Caixa 2026 CTR]]</f>
        <v>0</v>
      </c>
      <c r="C267" s="357"/>
      <c r="D267" s="306"/>
      <c r="E267" s="306"/>
      <c r="F267" s="306"/>
      <c r="G267" s="306"/>
      <c r="H267" s="306"/>
      <c r="I267" s="357">
        <f>Fluxo_de_Caixa_Janeiro3459117[[#This Row],[JULHO]]</f>
        <v>0</v>
      </c>
      <c r="J267" s="306">
        <f>Fluxo_de_Caixa_Janeiro345911710[[#This Row],[AGOSTO]]</f>
        <v>0</v>
      </c>
      <c r="K267" s="306">
        <f>Fluxo_de_Caixa_Janeiro34591171012[[#This Row],[SETEMBRO]]</f>
        <v>0</v>
      </c>
      <c r="L267" s="306">
        <f>Fluxo_de_Caixa_Janeiro3459117101215[[#This Row],[OUTUBRO]]</f>
        <v>0</v>
      </c>
      <c r="M267" s="306">
        <f>Fluxo_de_Caixa_Janeiro345911710121516[[#This Row],[NOVEMBRO]]</f>
        <v>0</v>
      </c>
      <c r="N267" s="360">
        <f>Fluxo_de_Caixa_Janeiro34591171012151619[[#This Row],[DEZEMBRO]]</f>
        <v>0</v>
      </c>
      <c r="O267" s="231">
        <f>SUM(Fluxo_de_Caixa_Janeiro31020817[[#This Row],[Janeiro]:[Dezembro]])</f>
        <v>0</v>
      </c>
      <c r="P267" s="140" t="str">
        <f t="shared" si="12"/>
        <v>0,00%</v>
      </c>
      <c r="Q267" s="24"/>
      <c r="R267" s="32"/>
    </row>
    <row r="268" spans="2:18" x14ac:dyDescent="0.25">
      <c r="B268" s="364" t="str">
        <f>Fluxo_de_Caixa_Janeiro[[#This Row],[Fluxo de Caixa 2026 CTR]]</f>
        <v>4.3.07. RECEITA NÃO IDENTIFICADA</v>
      </c>
      <c r="C268" s="357"/>
      <c r="D268" s="306"/>
      <c r="E268" s="306"/>
      <c r="F268" s="306"/>
      <c r="G268" s="306"/>
      <c r="H268" s="306"/>
      <c r="I268" s="357">
        <f>Fluxo_de_Caixa_Janeiro3459117[[#This Row],[JULHO]]</f>
        <v>0</v>
      </c>
      <c r="J268" s="306">
        <f>Fluxo_de_Caixa_Janeiro345911710[[#This Row],[AGOSTO]]</f>
        <v>0</v>
      </c>
      <c r="K268" s="306">
        <f>Fluxo_de_Caixa_Janeiro34591171012[[#This Row],[SETEMBRO]]</f>
        <v>0</v>
      </c>
      <c r="L268" s="306">
        <f>Fluxo_de_Caixa_Janeiro3459117101215[[#This Row],[OUTUBRO]]</f>
        <v>0</v>
      </c>
      <c r="M268" s="306">
        <f>Fluxo_de_Caixa_Janeiro345911710121516[[#This Row],[NOVEMBRO]]</f>
        <v>0</v>
      </c>
      <c r="N268" s="360">
        <f>Fluxo_de_Caixa_Janeiro34591171012151619[[#This Row],[DEZEMBRO]]</f>
        <v>0</v>
      </c>
      <c r="O268" s="231">
        <f>SUM(Fluxo_de_Caixa_Janeiro31020817[[#This Row],[Janeiro]:[Dezembro]])</f>
        <v>0</v>
      </c>
      <c r="P268" s="140" t="str">
        <f t="shared" si="12"/>
        <v>0,00%</v>
      </c>
      <c r="Q268" s="24"/>
      <c r="R268" s="32"/>
    </row>
    <row r="269" spans="2:18" x14ac:dyDescent="0.25">
      <c r="B269" s="364" t="str">
        <f>Fluxo_de_Caixa_Janeiro[[#This Row],[Fluxo de Caixa 2026 CTR]]</f>
        <v>4.3.08. DESPESAS NÃO IDENTIFICADAS ( - )</v>
      </c>
      <c r="C269" s="357"/>
      <c r="D269" s="306"/>
      <c r="E269" s="306"/>
      <c r="F269" s="306"/>
      <c r="G269" s="306"/>
      <c r="H269" s="306"/>
      <c r="I269" s="357">
        <f>Fluxo_de_Caixa_Janeiro3459117[[#This Row],[JULHO]]</f>
        <v>0</v>
      </c>
      <c r="J269" s="306">
        <f>Fluxo_de_Caixa_Janeiro345911710[[#This Row],[AGOSTO]]</f>
        <v>0</v>
      </c>
      <c r="K269" s="306">
        <f>Fluxo_de_Caixa_Janeiro34591171012[[#This Row],[SETEMBRO]]</f>
        <v>0</v>
      </c>
      <c r="L269" s="306">
        <f>Fluxo_de_Caixa_Janeiro3459117101215[[#This Row],[OUTUBRO]]</f>
        <v>0</v>
      </c>
      <c r="M269" s="306">
        <f>Fluxo_de_Caixa_Janeiro345911710121516[[#This Row],[NOVEMBRO]]</f>
        <v>0</v>
      </c>
      <c r="N269" s="360">
        <f>Fluxo_de_Caixa_Janeiro34591171012151619[[#This Row],[DEZEMBRO]]</f>
        <v>0</v>
      </c>
      <c r="O269" s="231">
        <f>SUM(Fluxo_de_Caixa_Janeiro31020817[[#This Row],[Janeiro]:[Dezembro]])</f>
        <v>0</v>
      </c>
      <c r="P269" s="140" t="str">
        <f t="shared" si="12"/>
        <v>0,00%</v>
      </c>
      <c r="Q269" s="24"/>
      <c r="R269" s="32"/>
    </row>
    <row r="270" spans="2:18" x14ac:dyDescent="0.25">
      <c r="B270" s="393" t="str">
        <f>Fluxo_de_Caixa_Janeiro[[#This Row],[Fluxo de Caixa 2026 CTR]]</f>
        <v>4.3.09. PATROCÍNIO  EM DINHEIRO</v>
      </c>
      <c r="C270" s="358"/>
      <c r="D270" s="359"/>
      <c r="E270" s="359"/>
      <c r="F270" s="359"/>
      <c r="G270" s="359"/>
      <c r="H270" s="359"/>
      <c r="I270" s="358">
        <f>Fluxo_de_Caixa_Janeiro3459117[[#This Row],[JULHO]]</f>
        <v>0</v>
      </c>
      <c r="J270" s="359">
        <f>Fluxo_de_Caixa_Janeiro345911710[[#This Row],[AGOSTO]]</f>
        <v>0</v>
      </c>
      <c r="K270" s="359">
        <f>Fluxo_de_Caixa_Janeiro34591171012[[#This Row],[SETEMBRO]]</f>
        <v>0</v>
      </c>
      <c r="L270" s="359">
        <f>Fluxo_de_Caixa_Janeiro3459117101215[[#This Row],[OUTUBRO]]</f>
        <v>0</v>
      </c>
      <c r="M270" s="359">
        <f>Fluxo_de_Caixa_Janeiro345911710121516[[#This Row],[NOVEMBRO]]</f>
        <v>0</v>
      </c>
      <c r="N270" s="361">
        <f>Fluxo_de_Caixa_Janeiro34591171012151619[[#This Row],[DEZEMBRO]]</f>
        <v>0</v>
      </c>
      <c r="O270" s="231">
        <f>SUM(Fluxo_de_Caixa_Janeiro31020817[[#This Row],[Janeiro]:[Dezembro]])</f>
        <v>0</v>
      </c>
      <c r="P270" s="140" t="str">
        <f t="shared" si="12"/>
        <v>0,00%</v>
      </c>
      <c r="Q270" s="24"/>
      <c r="R270" s="32"/>
    </row>
    <row r="271" spans="2:18" ht="15.75" thickBot="1" x14ac:dyDescent="0.3">
      <c r="B271" s="393" t="str">
        <f>Fluxo_de_Caixa_Janeiro[[#This Row],[Fluxo de Caixa 2026 CTR]]</f>
        <v>4.3.10. BONIFICAÇÃO EM PRODUTOS</v>
      </c>
      <c r="C271" s="358"/>
      <c r="D271" s="359"/>
      <c r="E271" s="359"/>
      <c r="F271" s="359"/>
      <c r="G271" s="359"/>
      <c r="H271" s="359"/>
      <c r="I271" s="358">
        <f>Fluxo_de_Caixa_Janeiro3459117[[#This Row],[JULHO]]</f>
        <v>0</v>
      </c>
      <c r="J271" s="359">
        <f>Fluxo_de_Caixa_Janeiro345911710[[#This Row],[AGOSTO]]</f>
        <v>0</v>
      </c>
      <c r="K271" s="359">
        <f>Fluxo_de_Caixa_Janeiro34591171012[[#This Row],[SETEMBRO]]</f>
        <v>0</v>
      </c>
      <c r="L271" s="359">
        <f>Fluxo_de_Caixa_Janeiro3459117101215[[#This Row],[OUTUBRO]]</f>
        <v>0</v>
      </c>
      <c r="M271" s="359">
        <f>Fluxo_de_Caixa_Janeiro345911710121516[[#This Row],[NOVEMBRO]]</f>
        <v>0</v>
      </c>
      <c r="N271" s="361">
        <f>Fluxo_de_Caixa_Janeiro34591171012151619[[#This Row],[DEZEMBRO]]</f>
        <v>0</v>
      </c>
      <c r="O271" s="231">
        <f>SUM(Fluxo_de_Caixa_Janeiro31020817[[#This Row],[Janeiro]:[Dezembro]])</f>
        <v>0</v>
      </c>
      <c r="P271" s="140" t="str">
        <f t="shared" si="12"/>
        <v>0,00%</v>
      </c>
      <c r="Q271" s="24"/>
      <c r="R271" s="32"/>
    </row>
    <row r="272" spans="2:18" ht="25.15" customHeight="1" thickBot="1" x14ac:dyDescent="0.45">
      <c r="B272" s="269" t="str">
        <f>Fluxo_de_Caixa_Janeiro[[#This Row],[Fluxo de Caixa 2026 CTR]]</f>
        <v>Despesas Não Operacional</v>
      </c>
      <c r="C272" s="191"/>
      <c r="D272" s="250"/>
      <c r="E272" s="250"/>
      <c r="F272" s="250"/>
      <c r="G272" s="250"/>
      <c r="H272" s="250"/>
      <c r="I272" s="191">
        <f>Fluxo_de_Caixa_Janeiro3459117[[#This Row],[JULHO]]</f>
        <v>0</v>
      </c>
      <c r="J272" s="250">
        <f>Fluxo_de_Caixa_Janeiro345911710[[#This Row],[AGOSTO]]</f>
        <v>0</v>
      </c>
      <c r="K272" s="250">
        <f>Fluxo_de_Caixa_Janeiro34591171012[[#This Row],[SETEMBRO]]</f>
        <v>0</v>
      </c>
      <c r="L272" s="250">
        <f>Fluxo_de_Caixa_Janeiro3459117101215[[#This Row],[OUTUBRO]]</f>
        <v>0</v>
      </c>
      <c r="M272" s="250">
        <f>Fluxo_de_Caixa_Janeiro345911710121516[[#This Row],[NOVEMBRO]]</f>
        <v>0</v>
      </c>
      <c r="N272" s="288">
        <f>Fluxo_de_Caixa_Janeiro34591171012151619[[#This Row],[DEZEMBRO]]</f>
        <v>0</v>
      </c>
      <c r="O272" s="233"/>
      <c r="P272" s="146"/>
      <c r="Q272" s="60"/>
      <c r="R272" s="32" t="str">
        <f>IF(Fluxo_de_Caixa_Janeiro31020817[[#This Row],[% ACUMULADO  2º SEMEST 2025]]&gt;=Fluxo_de_Caixa_Janeiro31020817[[#This Row],[Coluna1]],"VERDADEIRO","FALSO")</f>
        <v>VERDADEIRO</v>
      </c>
    </row>
    <row r="273" spans="2:18" ht="24" customHeight="1" thickBot="1" x14ac:dyDescent="0.4">
      <c r="B273" s="278" t="str">
        <f>Fluxo_de_Caixa_Janeiro[[#This Row],[Fluxo de Caixa 2026 CTR]]</f>
        <v>5.1. EMPRESTIMO / FINANCIAMENTO</v>
      </c>
      <c r="C273" s="157"/>
      <c r="D273" s="94"/>
      <c r="E273" s="94"/>
      <c r="F273" s="94"/>
      <c r="G273" s="94"/>
      <c r="H273" s="94"/>
      <c r="I273" s="157">
        <f>Fluxo_de_Caixa_Janeiro3459117[[#This Row],[JULHO]]</f>
        <v>0</v>
      </c>
      <c r="J273" s="94">
        <f>Fluxo_de_Caixa_Janeiro345911710[[#This Row],[AGOSTO]]</f>
        <v>0</v>
      </c>
      <c r="K273" s="94">
        <f>Fluxo_de_Caixa_Janeiro34591171012[[#This Row],[SETEMBRO]]</f>
        <v>0</v>
      </c>
      <c r="L273" s="94">
        <f>Fluxo_de_Caixa_Janeiro3459117101215[[#This Row],[OUTUBRO]]</f>
        <v>0</v>
      </c>
      <c r="M273" s="94">
        <f>Fluxo_de_Caixa_Janeiro345911710121516[[#This Row],[NOVEMBRO]]</f>
        <v>0</v>
      </c>
      <c r="N273" s="128">
        <f>Fluxo_de_Caixa_Janeiro34591171012151619[[#This Row],[DEZEMBRO]]</f>
        <v>0</v>
      </c>
      <c r="O273" s="222">
        <f>SUM(Fluxo_de_Caixa_Janeiro31020817[[#This Row],[Janeiro]:[Dezembro]])</f>
        <v>0</v>
      </c>
      <c r="P273" s="143">
        <f t="shared" ref="P273:P325" si="13">-IFERROR(O273/$O$332,"0,00")</f>
        <v>0</v>
      </c>
      <c r="Q273" s="95"/>
      <c r="R273" s="32" t="str">
        <f>IF(Fluxo_de_Caixa_Janeiro31020817[[#This Row],[% ACUMULADO  2º SEMEST 2025]]&lt;=Fluxo_de_Caixa_Janeiro31020817[[#This Row],[Coluna1]],"VERDADEIRO","FALSO")</f>
        <v>VERDADEIRO</v>
      </c>
    </row>
    <row r="274" spans="2:18" x14ac:dyDescent="0.25">
      <c r="B274" s="279" t="str">
        <f>Fluxo_de_Caixa_Janeiro[[#This Row],[Fluxo de Caixa 2026 CTR]]</f>
        <v>5.1.01. BANCARIOS</v>
      </c>
      <c r="C274" s="162"/>
      <c r="D274" s="104"/>
      <c r="E274" s="104"/>
      <c r="F274" s="104"/>
      <c r="G274" s="104"/>
      <c r="H274" s="104"/>
      <c r="I274" s="162">
        <f>Fluxo_de_Caixa_Janeiro3459117[[#This Row],[JULHO]]</f>
        <v>0</v>
      </c>
      <c r="J274" s="104">
        <f>Fluxo_de_Caixa_Janeiro345911710[[#This Row],[AGOSTO]]</f>
        <v>0</v>
      </c>
      <c r="K274" s="104">
        <f>Fluxo_de_Caixa_Janeiro34591171012[[#This Row],[SETEMBRO]]</f>
        <v>0</v>
      </c>
      <c r="L274" s="104">
        <f>Fluxo_de_Caixa_Janeiro3459117101215[[#This Row],[OUTUBRO]]</f>
        <v>0</v>
      </c>
      <c r="M274" s="104">
        <f>Fluxo_de_Caixa_Janeiro345911710121516[[#This Row],[NOVEMBRO]]</f>
        <v>0</v>
      </c>
      <c r="N274" s="133">
        <f>Fluxo_de_Caixa_Janeiro34591171012151619[[#This Row],[DEZEMBRO]]</f>
        <v>0</v>
      </c>
      <c r="O274" s="234">
        <f>SUM(Fluxo_de_Caixa_Janeiro31020817[[#This Row],[Janeiro]:[Dezembro]])</f>
        <v>0</v>
      </c>
      <c r="P274" s="147">
        <f t="shared" si="13"/>
        <v>0</v>
      </c>
      <c r="Q274" s="105"/>
      <c r="R274" s="32" t="str">
        <f>IF(Fluxo_de_Caixa_Janeiro31020817[[#This Row],[% ACUMULADO  2º SEMEST 2025]]&lt;=Fluxo_de_Caixa_Janeiro31020817[[#This Row],[Coluna1]],"VERDADEIRO","FALSO")</f>
        <v>VERDADEIRO</v>
      </c>
    </row>
    <row r="275" spans="2:18" x14ac:dyDescent="0.25">
      <c r="B275" s="270" t="str">
        <f>Fluxo_de_Caixa_Janeiro[[#This Row],[Fluxo de Caixa 2026 CTR]]</f>
        <v>5.1.02. FINANCIAMENTO</v>
      </c>
      <c r="C275" s="45"/>
      <c r="D275" s="80"/>
      <c r="E275" s="80"/>
      <c r="F275" s="80"/>
      <c r="G275" s="80"/>
      <c r="H275" s="80"/>
      <c r="I275" s="45">
        <f>Fluxo_de_Caixa_Janeiro3459117[[#This Row],[JULHO]]</f>
        <v>0</v>
      </c>
      <c r="J275" s="80">
        <f>Fluxo_de_Caixa_Janeiro345911710[[#This Row],[AGOSTO]]</f>
        <v>0</v>
      </c>
      <c r="K275" s="80">
        <f>Fluxo_de_Caixa_Janeiro34591171012[[#This Row],[SETEMBRO]]</f>
        <v>0</v>
      </c>
      <c r="L275" s="80">
        <f>Fluxo_de_Caixa_Janeiro3459117101215[[#This Row],[OUTUBRO]]</f>
        <v>0</v>
      </c>
      <c r="M275" s="80">
        <f>Fluxo_de_Caixa_Janeiro345911710121516[[#This Row],[NOVEMBRO]]</f>
        <v>0</v>
      </c>
      <c r="N275" s="134">
        <f>Fluxo_de_Caixa_Janeiro34591171012151619[[#This Row],[DEZEMBRO]]</f>
        <v>0</v>
      </c>
      <c r="O275" s="235">
        <f>SUM(Fluxo_de_Caixa_Janeiro31020817[[#This Row],[Janeiro]:[Dezembro]])</f>
        <v>0</v>
      </c>
      <c r="P275" s="26">
        <f t="shared" si="13"/>
        <v>0</v>
      </c>
      <c r="Q275" s="76"/>
      <c r="R275" s="32" t="str">
        <f>IF(Fluxo_de_Caixa_Janeiro31020817[[#This Row],[% ACUMULADO  2º SEMEST 2025]]&lt;=Fluxo_de_Caixa_Janeiro31020817[[#This Row],[Coluna1]],"VERDADEIRO","FALSO")</f>
        <v>VERDADEIRO</v>
      </c>
    </row>
    <row r="276" spans="2:18" x14ac:dyDescent="0.25">
      <c r="B276" s="270" t="str">
        <f>Fluxo_de_Caixa_Janeiro[[#This Row],[Fluxo de Caixa 2026 CTR]]</f>
        <v>5.1.03. ENTRE EMPRESAS DO MESMO GRUPO</v>
      </c>
      <c r="C276" s="45"/>
      <c r="D276" s="80"/>
      <c r="E276" s="80"/>
      <c r="F276" s="80"/>
      <c r="G276" s="80"/>
      <c r="H276" s="80"/>
      <c r="I276" s="45">
        <f>Fluxo_de_Caixa_Janeiro3459117[[#This Row],[JULHO]]</f>
        <v>0</v>
      </c>
      <c r="J276" s="80">
        <f>Fluxo_de_Caixa_Janeiro345911710[[#This Row],[AGOSTO]]</f>
        <v>0</v>
      </c>
      <c r="K276" s="80">
        <f>Fluxo_de_Caixa_Janeiro34591171012[[#This Row],[SETEMBRO]]</f>
        <v>0</v>
      </c>
      <c r="L276" s="80">
        <f>Fluxo_de_Caixa_Janeiro3459117101215[[#This Row],[OUTUBRO]]</f>
        <v>0</v>
      </c>
      <c r="M276" s="80">
        <f>Fluxo_de_Caixa_Janeiro345911710121516[[#This Row],[NOVEMBRO]]</f>
        <v>0</v>
      </c>
      <c r="N276" s="134">
        <f>Fluxo_de_Caixa_Janeiro34591171012151619[[#This Row],[DEZEMBRO]]</f>
        <v>0</v>
      </c>
      <c r="O276" s="235">
        <f>SUM(Fluxo_de_Caixa_Janeiro31020817[[#This Row],[Janeiro]:[Dezembro]])</f>
        <v>0</v>
      </c>
      <c r="P276" s="26">
        <f t="shared" si="13"/>
        <v>0</v>
      </c>
      <c r="Q276" s="76"/>
      <c r="R276" s="32" t="str">
        <f>IF(Fluxo_de_Caixa_Janeiro31020817[[#This Row],[% ACUMULADO  2º SEMEST 2025]]&lt;=Fluxo_de_Caixa_Janeiro31020817[[#This Row],[Coluna1]],"VERDADEIRO","FALSO")</f>
        <v>VERDADEIRO</v>
      </c>
    </row>
    <row r="277" spans="2:18" x14ac:dyDescent="0.25">
      <c r="B277" s="270" t="str">
        <f>Fluxo_de_Caixa_Janeiro[[#This Row],[Fluxo de Caixa 2026 CTR]]</f>
        <v>5.1.04. PESSOA FISICA</v>
      </c>
      <c r="C277" s="45"/>
      <c r="D277" s="80"/>
      <c r="E277" s="80"/>
      <c r="F277" s="80"/>
      <c r="G277" s="80"/>
      <c r="H277" s="80"/>
      <c r="I277" s="45">
        <f>Fluxo_de_Caixa_Janeiro3459117[[#This Row],[JULHO]]</f>
        <v>0</v>
      </c>
      <c r="J277" s="80">
        <f>Fluxo_de_Caixa_Janeiro345911710[[#This Row],[AGOSTO]]</f>
        <v>0</v>
      </c>
      <c r="K277" s="80">
        <f>Fluxo_de_Caixa_Janeiro34591171012[[#This Row],[SETEMBRO]]</f>
        <v>0</v>
      </c>
      <c r="L277" s="80">
        <f>Fluxo_de_Caixa_Janeiro3459117101215[[#This Row],[OUTUBRO]]</f>
        <v>0</v>
      </c>
      <c r="M277" s="80">
        <f>Fluxo_de_Caixa_Janeiro345911710121516[[#This Row],[NOVEMBRO]]</f>
        <v>0</v>
      </c>
      <c r="N277" s="134">
        <f>Fluxo_de_Caixa_Janeiro34591171012151619[[#This Row],[DEZEMBRO]]</f>
        <v>0</v>
      </c>
      <c r="O277" s="235">
        <f>SUM(Fluxo_de_Caixa_Janeiro31020817[[#This Row],[Janeiro]:[Dezembro]])</f>
        <v>0</v>
      </c>
      <c r="P277" s="26">
        <f t="shared" si="13"/>
        <v>0</v>
      </c>
      <c r="Q277" s="76"/>
      <c r="R277" s="32" t="str">
        <f>IF(Fluxo_de_Caixa_Janeiro31020817[[#This Row],[% ACUMULADO  2º SEMEST 2025]]&lt;=Fluxo_de_Caixa_Janeiro31020817[[#This Row],[Coluna1]],"VERDADEIRO","FALSO")</f>
        <v>VERDADEIRO</v>
      </c>
    </row>
    <row r="278" spans="2:18" x14ac:dyDescent="0.25">
      <c r="B278" s="270">
        <f>Fluxo_de_Caixa_Janeiro[[#This Row],[Fluxo de Caixa 2026 CTR]]</f>
        <v>0</v>
      </c>
      <c r="C278" s="45"/>
      <c r="D278" s="80"/>
      <c r="E278" s="80"/>
      <c r="F278" s="80"/>
      <c r="G278" s="80"/>
      <c r="H278" s="80"/>
      <c r="I278" s="45">
        <f>Fluxo_de_Caixa_Janeiro3459117[[#This Row],[JULHO]]</f>
        <v>0</v>
      </c>
      <c r="J278" s="80">
        <f>Fluxo_de_Caixa_Janeiro345911710[[#This Row],[AGOSTO]]</f>
        <v>0</v>
      </c>
      <c r="K278" s="80">
        <f>Fluxo_de_Caixa_Janeiro34591171012[[#This Row],[SETEMBRO]]</f>
        <v>0</v>
      </c>
      <c r="L278" s="80">
        <f>Fluxo_de_Caixa_Janeiro3459117101215[[#This Row],[OUTUBRO]]</f>
        <v>0</v>
      </c>
      <c r="M278" s="80">
        <f>Fluxo_de_Caixa_Janeiro345911710121516[[#This Row],[NOVEMBRO]]</f>
        <v>0</v>
      </c>
      <c r="N278" s="134">
        <f>Fluxo_de_Caixa_Janeiro34591171012151619[[#This Row],[DEZEMBRO]]</f>
        <v>0</v>
      </c>
      <c r="O278" s="235">
        <f>SUM(Fluxo_de_Caixa_Janeiro31020817[[#This Row],[Janeiro]:[Dezembro]])</f>
        <v>0</v>
      </c>
      <c r="P278" s="26">
        <f t="shared" si="13"/>
        <v>0</v>
      </c>
      <c r="Q278" s="76"/>
      <c r="R278" s="32" t="str">
        <f>IF(Fluxo_de_Caixa_Janeiro31020817[[#This Row],[% ACUMULADO  2º SEMEST 2025]]&lt;=Fluxo_de_Caixa_Janeiro31020817[[#This Row],[Coluna1]],"VERDADEIRO","FALSO")</f>
        <v>VERDADEIRO</v>
      </c>
    </row>
    <row r="279" spans="2:18" x14ac:dyDescent="0.25">
      <c r="B279" s="391">
        <f>Fluxo_de_Caixa_Janeiro[[#This Row],[Fluxo de Caixa 2026 CTR]]</f>
        <v>0</v>
      </c>
      <c r="C279" s="372"/>
      <c r="D279" s="374"/>
      <c r="E279" s="374"/>
      <c r="F279" s="374"/>
      <c r="G279" s="374"/>
      <c r="H279" s="374"/>
      <c r="I279" s="372">
        <f>Fluxo_de_Caixa_Janeiro3459117[[#This Row],[JULHO]]</f>
        <v>0</v>
      </c>
      <c r="J279" s="374">
        <f>Fluxo_de_Caixa_Janeiro345911710[[#This Row],[AGOSTO]]</f>
        <v>0</v>
      </c>
      <c r="K279" s="374">
        <f>Fluxo_de_Caixa_Janeiro34591171012[[#This Row],[SETEMBRO]]</f>
        <v>0</v>
      </c>
      <c r="L279" s="374">
        <f>Fluxo_de_Caixa_Janeiro3459117101215[[#This Row],[OUTUBRO]]</f>
        <v>0</v>
      </c>
      <c r="M279" s="374">
        <f>Fluxo_de_Caixa_Janeiro345911710121516[[#This Row],[NOVEMBRO]]</f>
        <v>0</v>
      </c>
      <c r="N279" s="376">
        <f>Fluxo_de_Caixa_Janeiro34591171012151619[[#This Row],[DEZEMBRO]]</f>
        <v>0</v>
      </c>
      <c r="O279" s="235">
        <f>SUM(Fluxo_de_Caixa_Janeiro31020817[[#This Row],[Janeiro]:[Dezembro]])</f>
        <v>0</v>
      </c>
      <c r="P279" s="26">
        <f t="shared" si="13"/>
        <v>0</v>
      </c>
      <c r="Q279" s="76"/>
      <c r="R279" s="32"/>
    </row>
    <row r="280" spans="2:18" x14ac:dyDescent="0.25">
      <c r="B280" s="392">
        <f>Fluxo_de_Caixa_Janeiro[[#This Row],[Fluxo de Caixa 2026 CTR]]</f>
        <v>0</v>
      </c>
      <c r="C280" s="372"/>
      <c r="D280" s="374"/>
      <c r="E280" s="374"/>
      <c r="F280" s="374"/>
      <c r="G280" s="374"/>
      <c r="H280" s="374"/>
      <c r="I280" s="372">
        <f>Fluxo_de_Caixa_Janeiro3459117[[#This Row],[JULHO]]</f>
        <v>0</v>
      </c>
      <c r="J280" s="374">
        <f>Fluxo_de_Caixa_Janeiro345911710[[#This Row],[AGOSTO]]</f>
        <v>0</v>
      </c>
      <c r="K280" s="374">
        <f>Fluxo_de_Caixa_Janeiro34591171012[[#This Row],[SETEMBRO]]</f>
        <v>0</v>
      </c>
      <c r="L280" s="374">
        <f>Fluxo_de_Caixa_Janeiro3459117101215[[#This Row],[OUTUBRO]]</f>
        <v>0</v>
      </c>
      <c r="M280" s="374">
        <f>Fluxo_de_Caixa_Janeiro345911710121516[[#This Row],[NOVEMBRO]]</f>
        <v>0</v>
      </c>
      <c r="N280" s="376">
        <f>Fluxo_de_Caixa_Janeiro34591171012151619[[#This Row],[DEZEMBRO]]</f>
        <v>0</v>
      </c>
      <c r="O280" s="235">
        <f>SUM(Fluxo_de_Caixa_Janeiro31020817[[#This Row],[Janeiro]:[Dezembro]])</f>
        <v>0</v>
      </c>
      <c r="P280" s="26">
        <f t="shared" si="13"/>
        <v>0</v>
      </c>
      <c r="Q280" s="76"/>
      <c r="R280" s="32"/>
    </row>
    <row r="281" spans="2:18" x14ac:dyDescent="0.25">
      <c r="B281" s="392">
        <f>Fluxo_de_Caixa_Janeiro[[#This Row],[Fluxo de Caixa 2026 CTR]]</f>
        <v>0</v>
      </c>
      <c r="C281" s="372"/>
      <c r="D281" s="374"/>
      <c r="E281" s="374"/>
      <c r="F281" s="374"/>
      <c r="G281" s="374"/>
      <c r="H281" s="374"/>
      <c r="I281" s="372">
        <f>Fluxo_de_Caixa_Janeiro3459117[[#This Row],[JULHO]]</f>
        <v>0</v>
      </c>
      <c r="J281" s="374">
        <f>Fluxo_de_Caixa_Janeiro345911710[[#This Row],[AGOSTO]]</f>
        <v>0</v>
      </c>
      <c r="K281" s="374">
        <f>Fluxo_de_Caixa_Janeiro34591171012[[#This Row],[SETEMBRO]]</f>
        <v>0</v>
      </c>
      <c r="L281" s="374">
        <f>Fluxo_de_Caixa_Janeiro3459117101215[[#This Row],[OUTUBRO]]</f>
        <v>0</v>
      </c>
      <c r="M281" s="374">
        <f>Fluxo_de_Caixa_Janeiro345911710121516[[#This Row],[NOVEMBRO]]</f>
        <v>0</v>
      </c>
      <c r="N281" s="376">
        <f>Fluxo_de_Caixa_Janeiro34591171012151619[[#This Row],[DEZEMBRO]]</f>
        <v>0</v>
      </c>
      <c r="O281" s="235">
        <f>SUM(Fluxo_de_Caixa_Janeiro31020817[[#This Row],[Janeiro]:[Dezembro]])</f>
        <v>0</v>
      </c>
      <c r="P281" s="26">
        <f t="shared" si="13"/>
        <v>0</v>
      </c>
      <c r="Q281" s="76"/>
      <c r="R281" s="32"/>
    </row>
    <row r="282" spans="2:18" x14ac:dyDescent="0.25">
      <c r="B282" s="392">
        <f>Fluxo_de_Caixa_Janeiro[[#This Row],[Fluxo de Caixa 2026 CTR]]</f>
        <v>0</v>
      </c>
      <c r="C282" s="372"/>
      <c r="D282" s="374"/>
      <c r="E282" s="374"/>
      <c r="F282" s="374"/>
      <c r="G282" s="374"/>
      <c r="H282" s="374"/>
      <c r="I282" s="372">
        <f>Fluxo_de_Caixa_Janeiro3459117[[#This Row],[JULHO]]</f>
        <v>0</v>
      </c>
      <c r="J282" s="374">
        <f>Fluxo_de_Caixa_Janeiro345911710[[#This Row],[AGOSTO]]</f>
        <v>0</v>
      </c>
      <c r="K282" s="374">
        <f>Fluxo_de_Caixa_Janeiro34591171012[[#This Row],[SETEMBRO]]</f>
        <v>0</v>
      </c>
      <c r="L282" s="374">
        <f>Fluxo_de_Caixa_Janeiro3459117101215[[#This Row],[OUTUBRO]]</f>
        <v>0</v>
      </c>
      <c r="M282" s="374">
        <f>Fluxo_de_Caixa_Janeiro345911710121516[[#This Row],[NOVEMBRO]]</f>
        <v>0</v>
      </c>
      <c r="N282" s="376">
        <f>Fluxo_de_Caixa_Janeiro34591171012151619[[#This Row],[DEZEMBRO]]</f>
        <v>0</v>
      </c>
      <c r="O282" s="235">
        <f>SUM(Fluxo_de_Caixa_Janeiro31020817[[#This Row],[Janeiro]:[Dezembro]])</f>
        <v>0</v>
      </c>
      <c r="P282" s="26">
        <f t="shared" si="13"/>
        <v>0</v>
      </c>
      <c r="Q282" s="76"/>
      <c r="R282" s="32"/>
    </row>
    <row r="283" spans="2:18" x14ac:dyDescent="0.25">
      <c r="B283" s="392">
        <f>Fluxo_de_Caixa_Janeiro[[#This Row],[Fluxo de Caixa 2026 CTR]]</f>
        <v>0</v>
      </c>
      <c r="C283" s="372"/>
      <c r="D283" s="374"/>
      <c r="E283" s="374"/>
      <c r="F283" s="374"/>
      <c r="G283" s="374"/>
      <c r="H283" s="374"/>
      <c r="I283" s="372">
        <f>Fluxo_de_Caixa_Janeiro3459117[[#This Row],[JULHO]]</f>
        <v>0</v>
      </c>
      <c r="J283" s="374">
        <f>Fluxo_de_Caixa_Janeiro345911710[[#This Row],[AGOSTO]]</f>
        <v>0</v>
      </c>
      <c r="K283" s="374">
        <f>Fluxo_de_Caixa_Janeiro34591171012[[#This Row],[SETEMBRO]]</f>
        <v>0</v>
      </c>
      <c r="L283" s="374">
        <f>Fluxo_de_Caixa_Janeiro3459117101215[[#This Row],[OUTUBRO]]</f>
        <v>0</v>
      </c>
      <c r="M283" s="374">
        <f>Fluxo_de_Caixa_Janeiro345911710121516[[#This Row],[NOVEMBRO]]</f>
        <v>0</v>
      </c>
      <c r="N283" s="376">
        <f>Fluxo_de_Caixa_Janeiro34591171012151619[[#This Row],[DEZEMBRO]]</f>
        <v>0</v>
      </c>
      <c r="O283" s="235">
        <f>SUM(Fluxo_de_Caixa_Janeiro31020817[[#This Row],[Janeiro]:[Dezembro]])</f>
        <v>0</v>
      </c>
      <c r="P283" s="26">
        <f t="shared" si="13"/>
        <v>0</v>
      </c>
      <c r="Q283" s="76"/>
      <c r="R283" s="32"/>
    </row>
    <row r="284" spans="2:18" x14ac:dyDescent="0.25">
      <c r="B284" s="392">
        <f>Fluxo_de_Caixa_Janeiro[[#This Row],[Fluxo de Caixa 2026 CTR]]</f>
        <v>0</v>
      </c>
      <c r="C284" s="372"/>
      <c r="D284" s="374"/>
      <c r="E284" s="374"/>
      <c r="F284" s="374"/>
      <c r="G284" s="374"/>
      <c r="H284" s="374"/>
      <c r="I284" s="372">
        <f>Fluxo_de_Caixa_Janeiro3459117[[#This Row],[JULHO]]</f>
        <v>0</v>
      </c>
      <c r="J284" s="374">
        <f>Fluxo_de_Caixa_Janeiro345911710[[#This Row],[AGOSTO]]</f>
        <v>0</v>
      </c>
      <c r="K284" s="374">
        <f>Fluxo_de_Caixa_Janeiro34591171012[[#This Row],[SETEMBRO]]</f>
        <v>0</v>
      </c>
      <c r="L284" s="374">
        <f>Fluxo_de_Caixa_Janeiro3459117101215[[#This Row],[OUTUBRO]]</f>
        <v>0</v>
      </c>
      <c r="M284" s="374">
        <f>Fluxo_de_Caixa_Janeiro345911710121516[[#This Row],[NOVEMBRO]]</f>
        <v>0</v>
      </c>
      <c r="N284" s="376">
        <f>Fluxo_de_Caixa_Janeiro34591171012151619[[#This Row],[DEZEMBRO]]</f>
        <v>0</v>
      </c>
      <c r="O284" s="235">
        <f>SUM(Fluxo_de_Caixa_Janeiro31020817[[#This Row],[Janeiro]:[Dezembro]])</f>
        <v>0</v>
      </c>
      <c r="P284" s="26">
        <f t="shared" si="13"/>
        <v>0</v>
      </c>
      <c r="Q284" s="76"/>
      <c r="R284" s="32"/>
    </row>
    <row r="285" spans="2:18" x14ac:dyDescent="0.25">
      <c r="B285" s="392">
        <f>Fluxo_de_Caixa_Janeiro[[#This Row],[Fluxo de Caixa 2026 CTR]]</f>
        <v>0</v>
      </c>
      <c r="C285" s="372"/>
      <c r="D285" s="374"/>
      <c r="E285" s="374"/>
      <c r="F285" s="374"/>
      <c r="G285" s="374"/>
      <c r="H285" s="374"/>
      <c r="I285" s="372">
        <f>Fluxo_de_Caixa_Janeiro3459117[[#This Row],[JULHO]]</f>
        <v>0</v>
      </c>
      <c r="J285" s="374">
        <f>Fluxo_de_Caixa_Janeiro345911710[[#This Row],[AGOSTO]]</f>
        <v>0</v>
      </c>
      <c r="K285" s="374">
        <f>Fluxo_de_Caixa_Janeiro34591171012[[#This Row],[SETEMBRO]]</f>
        <v>0</v>
      </c>
      <c r="L285" s="374">
        <f>Fluxo_de_Caixa_Janeiro3459117101215[[#This Row],[OUTUBRO]]</f>
        <v>0</v>
      </c>
      <c r="M285" s="374">
        <f>Fluxo_de_Caixa_Janeiro345911710121516[[#This Row],[NOVEMBRO]]</f>
        <v>0</v>
      </c>
      <c r="N285" s="376">
        <f>Fluxo_de_Caixa_Janeiro34591171012151619[[#This Row],[DEZEMBRO]]</f>
        <v>0</v>
      </c>
      <c r="O285" s="235">
        <f>SUM(Fluxo_de_Caixa_Janeiro31020817[[#This Row],[Janeiro]:[Dezembro]])</f>
        <v>0</v>
      </c>
      <c r="P285" s="26">
        <f t="shared" si="13"/>
        <v>0</v>
      </c>
      <c r="Q285" s="76"/>
      <c r="R285" s="32"/>
    </row>
    <row r="286" spans="2:18" x14ac:dyDescent="0.25">
      <c r="B286" s="392">
        <f>Fluxo_de_Caixa_Janeiro[[#This Row],[Fluxo de Caixa 2026 CTR]]</f>
        <v>0</v>
      </c>
      <c r="C286" s="372"/>
      <c r="D286" s="374"/>
      <c r="E286" s="374"/>
      <c r="F286" s="374"/>
      <c r="G286" s="374"/>
      <c r="H286" s="374"/>
      <c r="I286" s="372">
        <f>Fluxo_de_Caixa_Janeiro3459117[[#This Row],[JULHO]]</f>
        <v>0</v>
      </c>
      <c r="J286" s="374">
        <f>Fluxo_de_Caixa_Janeiro345911710[[#This Row],[AGOSTO]]</f>
        <v>0</v>
      </c>
      <c r="K286" s="374">
        <f>Fluxo_de_Caixa_Janeiro34591171012[[#This Row],[SETEMBRO]]</f>
        <v>0</v>
      </c>
      <c r="L286" s="374">
        <f>Fluxo_de_Caixa_Janeiro3459117101215[[#This Row],[OUTUBRO]]</f>
        <v>0</v>
      </c>
      <c r="M286" s="374">
        <f>Fluxo_de_Caixa_Janeiro345911710121516[[#This Row],[NOVEMBRO]]</f>
        <v>0</v>
      </c>
      <c r="N286" s="376">
        <f>Fluxo_de_Caixa_Janeiro34591171012151619[[#This Row],[DEZEMBRO]]</f>
        <v>0</v>
      </c>
      <c r="O286" s="235">
        <f>SUM(Fluxo_de_Caixa_Janeiro31020817[[#This Row],[Janeiro]:[Dezembro]])</f>
        <v>0</v>
      </c>
      <c r="P286" s="26">
        <f t="shared" si="13"/>
        <v>0</v>
      </c>
      <c r="Q286" s="76"/>
      <c r="R286" s="32"/>
    </row>
    <row r="287" spans="2:18" x14ac:dyDescent="0.25">
      <c r="B287" s="391">
        <f>Fluxo_de_Caixa_Janeiro[[#This Row],[Fluxo de Caixa 2026 CTR]]</f>
        <v>0</v>
      </c>
      <c r="C287" s="372"/>
      <c r="D287" s="374"/>
      <c r="E287" s="374"/>
      <c r="F287" s="374"/>
      <c r="G287" s="374"/>
      <c r="H287" s="374"/>
      <c r="I287" s="372">
        <f>Fluxo_de_Caixa_Janeiro3459117[[#This Row],[JULHO]]</f>
        <v>0</v>
      </c>
      <c r="J287" s="374">
        <f>Fluxo_de_Caixa_Janeiro345911710[[#This Row],[AGOSTO]]</f>
        <v>0</v>
      </c>
      <c r="K287" s="374">
        <f>Fluxo_de_Caixa_Janeiro34591171012[[#This Row],[SETEMBRO]]</f>
        <v>0</v>
      </c>
      <c r="L287" s="374">
        <f>Fluxo_de_Caixa_Janeiro3459117101215[[#This Row],[OUTUBRO]]</f>
        <v>0</v>
      </c>
      <c r="M287" s="374">
        <f>Fluxo_de_Caixa_Janeiro345911710121516[[#This Row],[NOVEMBRO]]</f>
        <v>0</v>
      </c>
      <c r="N287" s="376">
        <f>Fluxo_de_Caixa_Janeiro34591171012151619[[#This Row],[DEZEMBRO]]</f>
        <v>0</v>
      </c>
      <c r="O287" s="235">
        <f>SUM(Fluxo_de_Caixa_Janeiro31020817[[#This Row],[Janeiro]:[Dezembro]])</f>
        <v>0</v>
      </c>
      <c r="P287" s="26">
        <f t="shared" si="13"/>
        <v>0</v>
      </c>
      <c r="Q287" s="76"/>
      <c r="R287" s="32"/>
    </row>
    <row r="288" spans="2:18" x14ac:dyDescent="0.25">
      <c r="B288" s="391">
        <f>Fluxo_de_Caixa_Janeiro[[#This Row],[Fluxo de Caixa 2026 CTR]]</f>
        <v>0</v>
      </c>
      <c r="C288" s="373"/>
      <c r="D288" s="375"/>
      <c r="E288" s="375"/>
      <c r="F288" s="375"/>
      <c r="G288" s="375"/>
      <c r="H288" s="375"/>
      <c r="I288" s="373">
        <f>Fluxo_de_Caixa_Janeiro3459117[[#This Row],[JULHO]]</f>
        <v>0</v>
      </c>
      <c r="J288" s="375">
        <f>Fluxo_de_Caixa_Janeiro345911710[[#This Row],[AGOSTO]]</f>
        <v>0</v>
      </c>
      <c r="K288" s="375">
        <f>Fluxo_de_Caixa_Janeiro34591171012[[#This Row],[SETEMBRO]]</f>
        <v>0</v>
      </c>
      <c r="L288" s="375">
        <f>Fluxo_de_Caixa_Janeiro3459117101215[[#This Row],[OUTUBRO]]</f>
        <v>0</v>
      </c>
      <c r="M288" s="375">
        <f>Fluxo_de_Caixa_Janeiro345911710121516[[#This Row],[NOVEMBRO]]</f>
        <v>0</v>
      </c>
      <c r="N288" s="377">
        <f>Fluxo_de_Caixa_Janeiro34591171012151619[[#This Row],[DEZEMBRO]]</f>
        <v>0</v>
      </c>
      <c r="O288" s="235">
        <f>SUM(Fluxo_de_Caixa_Janeiro31020817[[#This Row],[Janeiro]:[Dezembro]])</f>
        <v>0</v>
      </c>
      <c r="P288" s="26">
        <f t="shared" si="13"/>
        <v>0</v>
      </c>
      <c r="Q288" s="76"/>
      <c r="R288" s="32"/>
    </row>
    <row r="289" spans="2:18" x14ac:dyDescent="0.25">
      <c r="B289" s="392">
        <f>Fluxo_de_Caixa_Janeiro[[#This Row],[Fluxo de Caixa 2026 CTR]]</f>
        <v>0</v>
      </c>
      <c r="C289" s="372"/>
      <c r="D289" s="374"/>
      <c r="E289" s="374"/>
      <c r="F289" s="374"/>
      <c r="G289" s="374"/>
      <c r="H289" s="374"/>
      <c r="I289" s="372">
        <f>Fluxo_de_Caixa_Janeiro3459117[[#This Row],[JULHO]]</f>
        <v>0</v>
      </c>
      <c r="J289" s="374">
        <f>Fluxo_de_Caixa_Janeiro345911710[[#This Row],[AGOSTO]]</f>
        <v>0</v>
      </c>
      <c r="K289" s="374">
        <f>Fluxo_de_Caixa_Janeiro34591171012[[#This Row],[SETEMBRO]]</f>
        <v>0</v>
      </c>
      <c r="L289" s="374">
        <f>Fluxo_de_Caixa_Janeiro3459117101215[[#This Row],[OUTUBRO]]</f>
        <v>0</v>
      </c>
      <c r="M289" s="374">
        <f>Fluxo_de_Caixa_Janeiro345911710121516[[#This Row],[NOVEMBRO]]</f>
        <v>0</v>
      </c>
      <c r="N289" s="376">
        <f>Fluxo_de_Caixa_Janeiro34591171012151619[[#This Row],[DEZEMBRO]]</f>
        <v>0</v>
      </c>
      <c r="O289" s="235">
        <f>SUM(Fluxo_de_Caixa_Janeiro31020817[[#This Row],[Janeiro]:[Dezembro]])</f>
        <v>0</v>
      </c>
      <c r="P289" s="26">
        <f t="shared" si="13"/>
        <v>0</v>
      </c>
      <c r="Q289" s="76"/>
      <c r="R289" s="32"/>
    </row>
    <row r="290" spans="2:18" x14ac:dyDescent="0.25">
      <c r="B290" s="392">
        <f>Fluxo_de_Caixa_Janeiro[[#This Row],[Fluxo de Caixa 2026 CTR]]</f>
        <v>0</v>
      </c>
      <c r="C290" s="373"/>
      <c r="D290" s="375"/>
      <c r="E290" s="375"/>
      <c r="F290" s="375"/>
      <c r="G290" s="375"/>
      <c r="H290" s="375"/>
      <c r="I290" s="373">
        <f>Fluxo_de_Caixa_Janeiro3459117[[#This Row],[JULHO]]</f>
        <v>0</v>
      </c>
      <c r="J290" s="375">
        <f>Fluxo_de_Caixa_Janeiro345911710[[#This Row],[AGOSTO]]</f>
        <v>0</v>
      </c>
      <c r="K290" s="375">
        <f>Fluxo_de_Caixa_Janeiro34591171012[[#This Row],[SETEMBRO]]</f>
        <v>0</v>
      </c>
      <c r="L290" s="375">
        <f>Fluxo_de_Caixa_Janeiro3459117101215[[#This Row],[OUTUBRO]]</f>
        <v>0</v>
      </c>
      <c r="M290" s="375">
        <f>Fluxo_de_Caixa_Janeiro345911710121516[[#This Row],[NOVEMBRO]]</f>
        <v>0</v>
      </c>
      <c r="N290" s="377">
        <f>Fluxo_de_Caixa_Janeiro34591171012151619[[#This Row],[DEZEMBRO]]</f>
        <v>0</v>
      </c>
      <c r="O290" s="235">
        <f>SUM(Fluxo_de_Caixa_Janeiro31020817[[#This Row],[Janeiro]:[Dezembro]])</f>
        <v>0</v>
      </c>
      <c r="P290" s="26">
        <f t="shared" si="13"/>
        <v>0</v>
      </c>
      <c r="Q290" s="76"/>
      <c r="R290" s="32"/>
    </row>
    <row r="291" spans="2:18" x14ac:dyDescent="0.25">
      <c r="B291" s="270">
        <f>Fluxo_de_Caixa_Janeiro[[#This Row],[Fluxo de Caixa 2026 CTR]]</f>
        <v>0</v>
      </c>
      <c r="C291" s="45"/>
      <c r="D291" s="80"/>
      <c r="E291" s="80"/>
      <c r="F291" s="80"/>
      <c r="G291" s="80"/>
      <c r="H291" s="80"/>
      <c r="I291" s="45">
        <f>Fluxo_de_Caixa_Janeiro3459117[[#This Row],[JULHO]]</f>
        <v>0</v>
      </c>
      <c r="J291" s="80">
        <f>Fluxo_de_Caixa_Janeiro345911710[[#This Row],[AGOSTO]]</f>
        <v>0</v>
      </c>
      <c r="K291" s="80">
        <f>Fluxo_de_Caixa_Janeiro34591171012[[#This Row],[SETEMBRO]]</f>
        <v>0</v>
      </c>
      <c r="L291" s="80">
        <f>Fluxo_de_Caixa_Janeiro3459117101215[[#This Row],[OUTUBRO]]</f>
        <v>0</v>
      </c>
      <c r="M291" s="80">
        <f>Fluxo_de_Caixa_Janeiro345911710121516[[#This Row],[NOVEMBRO]]</f>
        <v>0</v>
      </c>
      <c r="N291" s="134">
        <f>Fluxo_de_Caixa_Janeiro34591171012151619[[#This Row],[DEZEMBRO]]</f>
        <v>0</v>
      </c>
      <c r="O291" s="235">
        <f>SUM(Fluxo_de_Caixa_Janeiro31020817[[#This Row],[Janeiro]:[Dezembro]])</f>
        <v>0</v>
      </c>
      <c r="P291" s="26">
        <f t="shared" si="13"/>
        <v>0</v>
      </c>
      <c r="Q291" s="76"/>
      <c r="R291" s="32" t="str">
        <f>IF(Fluxo_de_Caixa_Janeiro31020817[[#This Row],[% ACUMULADO  2º SEMEST 2025]]&lt;=Fluxo_de_Caixa_Janeiro31020817[[#This Row],[Coluna1]],"VERDADEIRO","FALSO")</f>
        <v>VERDADEIRO</v>
      </c>
    </row>
    <row r="292" spans="2:18" x14ac:dyDescent="0.25">
      <c r="B292" s="270">
        <f>Fluxo_de_Caixa_Janeiro[[#This Row],[Fluxo de Caixa 2026 CTR]]</f>
        <v>0</v>
      </c>
      <c r="C292" s="45"/>
      <c r="D292" s="80"/>
      <c r="E292" s="80"/>
      <c r="F292" s="80"/>
      <c r="G292" s="80"/>
      <c r="H292" s="80"/>
      <c r="I292" s="45">
        <f>Fluxo_de_Caixa_Janeiro3459117[[#This Row],[JULHO]]</f>
        <v>0</v>
      </c>
      <c r="J292" s="80">
        <f>Fluxo_de_Caixa_Janeiro345911710[[#This Row],[AGOSTO]]</f>
        <v>0</v>
      </c>
      <c r="K292" s="80">
        <f>Fluxo_de_Caixa_Janeiro34591171012[[#This Row],[SETEMBRO]]</f>
        <v>0</v>
      </c>
      <c r="L292" s="80">
        <f>Fluxo_de_Caixa_Janeiro3459117101215[[#This Row],[OUTUBRO]]</f>
        <v>0</v>
      </c>
      <c r="M292" s="80">
        <f>Fluxo_de_Caixa_Janeiro345911710121516[[#This Row],[NOVEMBRO]]</f>
        <v>0</v>
      </c>
      <c r="N292" s="134">
        <f>Fluxo_de_Caixa_Janeiro34591171012151619[[#This Row],[DEZEMBRO]]</f>
        <v>0</v>
      </c>
      <c r="O292" s="235">
        <f>SUM(Fluxo_de_Caixa_Janeiro31020817[[#This Row],[Janeiro]:[Dezembro]])</f>
        <v>0</v>
      </c>
      <c r="P292" s="26">
        <f t="shared" si="13"/>
        <v>0</v>
      </c>
      <c r="Q292" s="76"/>
      <c r="R292" s="32" t="str">
        <f>IF(Fluxo_de_Caixa_Janeiro31020817[[#This Row],[% ACUMULADO  2º SEMEST 2025]]&lt;=Fluxo_de_Caixa_Janeiro31020817[[#This Row],[Coluna1]],"VERDADEIRO","FALSO")</f>
        <v>VERDADEIRO</v>
      </c>
    </row>
    <row r="293" spans="2:18" ht="15.75" thickBot="1" x14ac:dyDescent="0.3">
      <c r="B293" s="280">
        <f>Fluxo_de_Caixa_Janeiro[[#This Row],[Fluxo de Caixa 2026 CTR]]</f>
        <v>0</v>
      </c>
      <c r="C293" s="163"/>
      <c r="D293" s="106"/>
      <c r="E293" s="106"/>
      <c r="F293" s="106"/>
      <c r="G293" s="106"/>
      <c r="H293" s="106"/>
      <c r="I293" s="163">
        <f>Fluxo_de_Caixa_Janeiro3459117[[#This Row],[JULHO]]</f>
        <v>0</v>
      </c>
      <c r="J293" s="106">
        <f>Fluxo_de_Caixa_Janeiro345911710[[#This Row],[AGOSTO]]</f>
        <v>0</v>
      </c>
      <c r="K293" s="106">
        <f>Fluxo_de_Caixa_Janeiro34591171012[[#This Row],[SETEMBRO]]</f>
        <v>0</v>
      </c>
      <c r="L293" s="106">
        <f>Fluxo_de_Caixa_Janeiro3459117101215[[#This Row],[OUTUBRO]]</f>
        <v>0</v>
      </c>
      <c r="M293" s="106">
        <f>Fluxo_de_Caixa_Janeiro345911710121516[[#This Row],[NOVEMBRO]]</f>
        <v>0</v>
      </c>
      <c r="N293" s="135">
        <f>Fluxo_de_Caixa_Janeiro34591171012151619[[#This Row],[DEZEMBRO]]</f>
        <v>0</v>
      </c>
      <c r="O293" s="236">
        <f>SUM(Fluxo_de_Caixa_Janeiro31020817[[#This Row],[Janeiro]:[Dezembro]])</f>
        <v>0</v>
      </c>
      <c r="P293" s="148">
        <f t="shared" si="13"/>
        <v>0</v>
      </c>
      <c r="Q293" s="107"/>
      <c r="R293" s="32" t="str">
        <f>IF(Fluxo_de_Caixa_Janeiro31020817[[#This Row],[% ACUMULADO  2º SEMEST 2025]]&lt;=Fluxo_de_Caixa_Janeiro31020817[[#This Row],[Coluna1]],"VERDADEIRO","FALSO")</f>
        <v>VERDADEIRO</v>
      </c>
    </row>
    <row r="294" spans="2:18" ht="19.5" thickBot="1" x14ac:dyDescent="0.35">
      <c r="B294" s="168" t="str">
        <f>Fluxo_de_Caixa_Janeiro[[#This Row],[Fluxo de Caixa 2026 CTR]]</f>
        <v>5.2 DESPESA COM INVESTIMENTO</v>
      </c>
      <c r="C294" s="158"/>
      <c r="D294" s="97"/>
      <c r="E294" s="97"/>
      <c r="F294" s="97"/>
      <c r="G294" s="97"/>
      <c r="H294" s="97"/>
      <c r="I294" s="158">
        <f>Fluxo_de_Caixa_Janeiro3459117[[#This Row],[JULHO]]</f>
        <v>0</v>
      </c>
      <c r="J294" s="97">
        <f>Fluxo_de_Caixa_Janeiro345911710[[#This Row],[AGOSTO]]</f>
        <v>0</v>
      </c>
      <c r="K294" s="97">
        <f>Fluxo_de_Caixa_Janeiro34591171012[[#This Row],[SETEMBRO]]</f>
        <v>0</v>
      </c>
      <c r="L294" s="97">
        <f>Fluxo_de_Caixa_Janeiro3459117101215[[#This Row],[OUTUBRO]]</f>
        <v>0</v>
      </c>
      <c r="M294" s="97">
        <f>Fluxo_de_Caixa_Janeiro345911710121516[[#This Row],[NOVEMBRO]]</f>
        <v>0</v>
      </c>
      <c r="N294" s="129">
        <f>Fluxo_de_Caixa_Janeiro34591171012151619[[#This Row],[DEZEMBRO]]</f>
        <v>0</v>
      </c>
      <c r="O294" s="226">
        <f>SUM(Fluxo_de_Caixa_Janeiro31020817[[#This Row],[Janeiro]:[Dezembro]])</f>
        <v>0</v>
      </c>
      <c r="P294" s="144">
        <f t="shared" si="13"/>
        <v>0</v>
      </c>
      <c r="Q294" s="98"/>
      <c r="R294" s="32" t="str">
        <f>IF(Fluxo_de_Caixa_Janeiro31020817[[#This Row],[% ACUMULADO  2º SEMEST 2025]]&lt;=Fluxo_de_Caixa_Janeiro31020817[[#This Row],[Coluna1]],"VERDADEIRO","FALSO")</f>
        <v>VERDADEIRO</v>
      </c>
    </row>
    <row r="295" spans="2:18" x14ac:dyDescent="0.25">
      <c r="B295" s="270" t="str">
        <f>Fluxo_de_Caixa_Janeiro[[#This Row],[Fluxo de Caixa 2026 CTR]]</f>
        <v>5.2.01. IMÓVEIS</v>
      </c>
      <c r="C295" s="45"/>
      <c r="D295" s="80"/>
      <c r="E295" s="80"/>
      <c r="F295" s="80"/>
      <c r="G295" s="80"/>
      <c r="H295" s="80"/>
      <c r="I295" s="45">
        <f>Fluxo_de_Caixa_Janeiro3459117[[#This Row],[JULHO]]</f>
        <v>0</v>
      </c>
      <c r="J295" s="80">
        <f>Fluxo_de_Caixa_Janeiro345911710[[#This Row],[AGOSTO]]</f>
        <v>0</v>
      </c>
      <c r="K295" s="80">
        <f>Fluxo_de_Caixa_Janeiro34591171012[[#This Row],[SETEMBRO]]</f>
        <v>0</v>
      </c>
      <c r="L295" s="80">
        <f>Fluxo_de_Caixa_Janeiro3459117101215[[#This Row],[OUTUBRO]]</f>
        <v>0</v>
      </c>
      <c r="M295" s="80">
        <f>Fluxo_de_Caixa_Janeiro345911710121516[[#This Row],[NOVEMBRO]]</f>
        <v>0</v>
      </c>
      <c r="N295" s="134">
        <f>Fluxo_de_Caixa_Janeiro34591171012151619[[#This Row],[DEZEMBRO]]</f>
        <v>0</v>
      </c>
      <c r="O295" s="235">
        <f>SUM(Fluxo_de_Caixa_Janeiro31020817[[#This Row],[Janeiro]:[Dezembro]])</f>
        <v>0</v>
      </c>
      <c r="P295" s="26">
        <f t="shared" si="13"/>
        <v>0</v>
      </c>
      <c r="Q295" s="76"/>
      <c r="R295" s="32" t="str">
        <f>IF(Fluxo_de_Caixa_Janeiro31020817[[#This Row],[% ACUMULADO  2º SEMEST 2025]]&lt;=Fluxo_de_Caixa_Janeiro31020817[[#This Row],[Coluna1]],"VERDADEIRO","FALSO")</f>
        <v>VERDADEIRO</v>
      </c>
    </row>
    <row r="296" spans="2:18" x14ac:dyDescent="0.25">
      <c r="B296" s="391" t="str">
        <f>Fluxo_de_Caixa_Janeiro[[#This Row],[Fluxo de Caixa 2026 CTR]]</f>
        <v>5.2.02. CONSTRUCAO E AMPLIAÇÕES EXTRUTURA</v>
      </c>
      <c r="C296" s="372"/>
      <c r="D296" s="374"/>
      <c r="E296" s="374"/>
      <c r="F296" s="374"/>
      <c r="G296" s="374"/>
      <c r="H296" s="374"/>
      <c r="I296" s="372">
        <f>Fluxo_de_Caixa_Janeiro3459117[[#This Row],[JULHO]]</f>
        <v>0</v>
      </c>
      <c r="J296" s="374">
        <f>Fluxo_de_Caixa_Janeiro345911710[[#This Row],[AGOSTO]]</f>
        <v>0</v>
      </c>
      <c r="K296" s="374">
        <f>Fluxo_de_Caixa_Janeiro34591171012[[#This Row],[SETEMBRO]]</f>
        <v>0</v>
      </c>
      <c r="L296" s="374">
        <f>Fluxo_de_Caixa_Janeiro3459117101215[[#This Row],[OUTUBRO]]</f>
        <v>0</v>
      </c>
      <c r="M296" s="374">
        <f>Fluxo_de_Caixa_Janeiro345911710121516[[#This Row],[NOVEMBRO]]</f>
        <v>0</v>
      </c>
      <c r="N296" s="376">
        <f>Fluxo_de_Caixa_Janeiro34591171012151619[[#This Row],[DEZEMBRO]]</f>
        <v>0</v>
      </c>
      <c r="O296" s="235">
        <f>SUM(Fluxo_de_Caixa_Janeiro31020817[[#This Row],[Janeiro]:[Dezembro]])</f>
        <v>0</v>
      </c>
      <c r="P296" s="26">
        <f t="shared" si="13"/>
        <v>0</v>
      </c>
      <c r="Q296" s="76"/>
      <c r="R296" s="32"/>
    </row>
    <row r="297" spans="2:18" x14ac:dyDescent="0.25">
      <c r="B297" s="391" t="str">
        <f>Fluxo_de_Caixa_Janeiro[[#This Row],[Fluxo de Caixa 2026 CTR]]</f>
        <v>5.2.03. LEASING</v>
      </c>
      <c r="C297" s="372"/>
      <c r="D297" s="374"/>
      <c r="E297" s="374"/>
      <c r="F297" s="374"/>
      <c r="G297" s="374"/>
      <c r="H297" s="374"/>
      <c r="I297" s="372">
        <f>Fluxo_de_Caixa_Janeiro3459117[[#This Row],[JULHO]]</f>
        <v>0</v>
      </c>
      <c r="J297" s="374">
        <f>Fluxo_de_Caixa_Janeiro345911710[[#This Row],[AGOSTO]]</f>
        <v>0</v>
      </c>
      <c r="K297" s="374">
        <f>Fluxo_de_Caixa_Janeiro34591171012[[#This Row],[SETEMBRO]]</f>
        <v>0</v>
      </c>
      <c r="L297" s="374">
        <f>Fluxo_de_Caixa_Janeiro3459117101215[[#This Row],[OUTUBRO]]</f>
        <v>0</v>
      </c>
      <c r="M297" s="374">
        <f>Fluxo_de_Caixa_Janeiro345911710121516[[#This Row],[NOVEMBRO]]</f>
        <v>0</v>
      </c>
      <c r="N297" s="376">
        <f>Fluxo_de_Caixa_Janeiro34591171012151619[[#This Row],[DEZEMBRO]]</f>
        <v>0</v>
      </c>
      <c r="O297" s="235">
        <f>SUM(Fluxo_de_Caixa_Janeiro31020817[[#This Row],[Janeiro]:[Dezembro]])</f>
        <v>0</v>
      </c>
      <c r="P297" s="26">
        <f t="shared" si="13"/>
        <v>0</v>
      </c>
      <c r="Q297" s="76"/>
      <c r="R297" s="32"/>
    </row>
    <row r="298" spans="2:18" x14ac:dyDescent="0.25">
      <c r="B298" s="391" t="str">
        <f>Fluxo_de_Caixa_Janeiro[[#This Row],[Fluxo de Caixa 2026 CTR]]</f>
        <v>5.2.04. COMPRA DE TERRENOS</v>
      </c>
      <c r="C298" s="372"/>
      <c r="D298" s="374"/>
      <c r="E298" s="374"/>
      <c r="F298" s="374"/>
      <c r="G298" s="374"/>
      <c r="H298" s="374"/>
      <c r="I298" s="372">
        <f>Fluxo_de_Caixa_Janeiro3459117[[#This Row],[JULHO]]</f>
        <v>0</v>
      </c>
      <c r="J298" s="374">
        <f>Fluxo_de_Caixa_Janeiro345911710[[#This Row],[AGOSTO]]</f>
        <v>0</v>
      </c>
      <c r="K298" s="374">
        <f>Fluxo_de_Caixa_Janeiro34591171012[[#This Row],[SETEMBRO]]</f>
        <v>0</v>
      </c>
      <c r="L298" s="374">
        <f>Fluxo_de_Caixa_Janeiro3459117101215[[#This Row],[OUTUBRO]]</f>
        <v>0</v>
      </c>
      <c r="M298" s="374">
        <f>Fluxo_de_Caixa_Janeiro345911710121516[[#This Row],[NOVEMBRO]]</f>
        <v>0</v>
      </c>
      <c r="N298" s="376">
        <f>Fluxo_de_Caixa_Janeiro34591171012151619[[#This Row],[DEZEMBRO]]</f>
        <v>0</v>
      </c>
      <c r="O298" s="235">
        <f>SUM(Fluxo_de_Caixa_Janeiro31020817[[#This Row],[Janeiro]:[Dezembro]])</f>
        <v>0</v>
      </c>
      <c r="P298" s="26">
        <f t="shared" si="13"/>
        <v>0</v>
      </c>
      <c r="Q298" s="76"/>
      <c r="R298" s="32"/>
    </row>
    <row r="299" spans="2:18" x14ac:dyDescent="0.25">
      <c r="B299" s="391" t="str">
        <f>Fluxo_de_Caixa_Janeiro[[#This Row],[Fluxo de Caixa 2026 CTR]]</f>
        <v>5.2.06. AQUISICAO TITULO DE CAPITALIZACAO</v>
      </c>
      <c r="C299" s="372"/>
      <c r="D299" s="374"/>
      <c r="E299" s="374"/>
      <c r="F299" s="374"/>
      <c r="G299" s="374"/>
      <c r="H299" s="374"/>
      <c r="I299" s="372">
        <f>Fluxo_de_Caixa_Janeiro3459117[[#This Row],[JULHO]]</f>
        <v>0</v>
      </c>
      <c r="J299" s="374">
        <f>Fluxo_de_Caixa_Janeiro345911710[[#This Row],[AGOSTO]]</f>
        <v>0</v>
      </c>
      <c r="K299" s="374">
        <f>Fluxo_de_Caixa_Janeiro34591171012[[#This Row],[SETEMBRO]]</f>
        <v>0</v>
      </c>
      <c r="L299" s="374">
        <f>Fluxo_de_Caixa_Janeiro3459117101215[[#This Row],[OUTUBRO]]</f>
        <v>0</v>
      </c>
      <c r="M299" s="374">
        <f>Fluxo_de_Caixa_Janeiro345911710121516[[#This Row],[NOVEMBRO]]</f>
        <v>0</v>
      </c>
      <c r="N299" s="376">
        <f>Fluxo_de_Caixa_Janeiro34591171012151619[[#This Row],[DEZEMBRO]]</f>
        <v>0</v>
      </c>
      <c r="O299" s="235">
        <f>SUM(Fluxo_de_Caixa_Janeiro31020817[[#This Row],[Janeiro]:[Dezembro]])</f>
        <v>0</v>
      </c>
      <c r="P299" s="26">
        <f t="shared" si="13"/>
        <v>0</v>
      </c>
      <c r="Q299" s="76"/>
      <c r="R299" s="32"/>
    </row>
    <row r="300" spans="2:18" x14ac:dyDescent="0.25">
      <c r="B300" s="391" t="str">
        <f>Fluxo_de_Caixa_Janeiro[[#This Row],[Fluxo de Caixa 2026 CTR]]</f>
        <v>5.2.07. CONSORCIOS</v>
      </c>
      <c r="C300" s="372"/>
      <c r="D300" s="374"/>
      <c r="E300" s="374"/>
      <c r="F300" s="374"/>
      <c r="G300" s="374"/>
      <c r="H300" s="374"/>
      <c r="I300" s="372">
        <f>Fluxo_de_Caixa_Janeiro3459117[[#This Row],[JULHO]]</f>
        <v>0</v>
      </c>
      <c r="J300" s="374">
        <f>Fluxo_de_Caixa_Janeiro345911710[[#This Row],[AGOSTO]]</f>
        <v>0</v>
      </c>
      <c r="K300" s="374">
        <f>Fluxo_de_Caixa_Janeiro34591171012[[#This Row],[SETEMBRO]]</f>
        <v>0</v>
      </c>
      <c r="L300" s="374">
        <f>Fluxo_de_Caixa_Janeiro3459117101215[[#This Row],[OUTUBRO]]</f>
        <v>0</v>
      </c>
      <c r="M300" s="374">
        <f>Fluxo_de_Caixa_Janeiro345911710121516[[#This Row],[NOVEMBRO]]</f>
        <v>0</v>
      </c>
      <c r="N300" s="376">
        <f>Fluxo_de_Caixa_Janeiro34591171012151619[[#This Row],[DEZEMBRO]]</f>
        <v>0</v>
      </c>
      <c r="O300" s="235">
        <f>SUM(Fluxo_de_Caixa_Janeiro31020817[[#This Row],[Janeiro]:[Dezembro]])</f>
        <v>0</v>
      </c>
      <c r="P300" s="26">
        <f t="shared" si="13"/>
        <v>0</v>
      </c>
      <c r="Q300" s="76"/>
      <c r="R300" s="32"/>
    </row>
    <row r="301" spans="2:18" x14ac:dyDescent="0.25">
      <c r="B301" s="391" t="str">
        <f>Fluxo_de_Caixa_Janeiro[[#This Row],[Fluxo de Caixa 2026 CTR]]</f>
        <v>5.2.08. INVESTIM NOVAS EMPRESAS E FILIAIS</v>
      </c>
      <c r="C301" s="372"/>
      <c r="D301" s="374"/>
      <c r="E301" s="374"/>
      <c r="F301" s="374"/>
      <c r="G301" s="374"/>
      <c r="H301" s="374"/>
      <c r="I301" s="372">
        <f>Fluxo_de_Caixa_Janeiro3459117[[#This Row],[JULHO]]</f>
        <v>0</v>
      </c>
      <c r="J301" s="374">
        <f>Fluxo_de_Caixa_Janeiro345911710[[#This Row],[AGOSTO]]</f>
        <v>0</v>
      </c>
      <c r="K301" s="374">
        <f>Fluxo_de_Caixa_Janeiro34591171012[[#This Row],[SETEMBRO]]</f>
        <v>0</v>
      </c>
      <c r="L301" s="374">
        <f>Fluxo_de_Caixa_Janeiro3459117101215[[#This Row],[OUTUBRO]]</f>
        <v>0</v>
      </c>
      <c r="M301" s="374">
        <f>Fluxo_de_Caixa_Janeiro345911710121516[[#This Row],[NOVEMBRO]]</f>
        <v>0</v>
      </c>
      <c r="N301" s="376">
        <f>Fluxo_de_Caixa_Janeiro34591171012151619[[#This Row],[DEZEMBRO]]</f>
        <v>0</v>
      </c>
      <c r="O301" s="235">
        <f>SUM(Fluxo_de_Caixa_Janeiro31020817[[#This Row],[Janeiro]:[Dezembro]])</f>
        <v>0</v>
      </c>
      <c r="P301" s="26">
        <f t="shared" si="13"/>
        <v>0</v>
      </c>
      <c r="Q301" s="76"/>
      <c r="R301" s="32"/>
    </row>
    <row r="302" spans="2:18" x14ac:dyDescent="0.25">
      <c r="B302" s="391" t="str">
        <f>Fluxo_de_Caixa_Janeiro[[#This Row],[Fluxo de Caixa 2026 CTR]]</f>
        <v>5.2.14. FRETE COMPRA ATIVO IMOBILIZADO</v>
      </c>
      <c r="C302" s="373"/>
      <c r="D302" s="375"/>
      <c r="E302" s="375"/>
      <c r="F302" s="375"/>
      <c r="G302" s="375"/>
      <c r="H302" s="375"/>
      <c r="I302" s="373">
        <f>Fluxo_de_Caixa_Janeiro3459117[[#This Row],[JULHO]]</f>
        <v>0</v>
      </c>
      <c r="J302" s="375">
        <f>Fluxo_de_Caixa_Janeiro345911710[[#This Row],[AGOSTO]]</f>
        <v>0</v>
      </c>
      <c r="K302" s="375">
        <f>Fluxo_de_Caixa_Janeiro34591171012[[#This Row],[SETEMBRO]]</f>
        <v>0</v>
      </c>
      <c r="L302" s="375">
        <f>Fluxo_de_Caixa_Janeiro3459117101215[[#This Row],[OUTUBRO]]</f>
        <v>0</v>
      </c>
      <c r="M302" s="375">
        <f>Fluxo_de_Caixa_Janeiro345911710121516[[#This Row],[NOVEMBRO]]</f>
        <v>0</v>
      </c>
      <c r="N302" s="377">
        <f>Fluxo_de_Caixa_Janeiro34591171012151619[[#This Row],[DEZEMBRO]]</f>
        <v>0</v>
      </c>
      <c r="O302" s="235">
        <f>SUM(Fluxo_de_Caixa_Janeiro31020817[[#This Row],[Janeiro]:[Dezembro]])</f>
        <v>0</v>
      </c>
      <c r="P302" s="26">
        <f t="shared" si="13"/>
        <v>0</v>
      </c>
      <c r="Q302" s="76"/>
      <c r="R302" s="32"/>
    </row>
    <row r="303" spans="2:18" x14ac:dyDescent="0.25">
      <c r="B303" s="391" t="str">
        <f>Fluxo_de_Caixa_Janeiro[[#This Row],[Fluxo de Caixa 2026 CTR]]</f>
        <v>5.2.15. AQUISICAO DE NOVO SOFTWARE INFORMATICA</v>
      </c>
      <c r="C303" s="372"/>
      <c r="D303" s="374"/>
      <c r="E303" s="374"/>
      <c r="F303" s="374"/>
      <c r="G303" s="374"/>
      <c r="H303" s="374"/>
      <c r="I303" s="372">
        <f>Fluxo_de_Caixa_Janeiro3459117[[#This Row],[JULHO]]</f>
        <v>0</v>
      </c>
      <c r="J303" s="374">
        <f>Fluxo_de_Caixa_Janeiro345911710[[#This Row],[AGOSTO]]</f>
        <v>0</v>
      </c>
      <c r="K303" s="374">
        <f>Fluxo_de_Caixa_Janeiro34591171012[[#This Row],[SETEMBRO]]</f>
        <v>0</v>
      </c>
      <c r="L303" s="374">
        <f>Fluxo_de_Caixa_Janeiro3459117101215[[#This Row],[OUTUBRO]]</f>
        <v>0</v>
      </c>
      <c r="M303" s="374">
        <f>Fluxo_de_Caixa_Janeiro345911710121516[[#This Row],[NOVEMBRO]]</f>
        <v>0</v>
      </c>
      <c r="N303" s="376">
        <f>Fluxo_de_Caixa_Janeiro34591171012151619[[#This Row],[DEZEMBRO]]</f>
        <v>0</v>
      </c>
      <c r="O303" s="235">
        <f>SUM(Fluxo_de_Caixa_Janeiro31020817[[#This Row],[Janeiro]:[Dezembro]])</f>
        <v>0</v>
      </c>
      <c r="P303" s="26">
        <f t="shared" si="13"/>
        <v>0</v>
      </c>
      <c r="Q303" s="76"/>
      <c r="R303" s="32"/>
    </row>
    <row r="304" spans="2:18" x14ac:dyDescent="0.25">
      <c r="B304" s="391" t="str">
        <f>Fluxo_de_Caixa_Janeiro[[#This Row],[Fluxo de Caixa 2026 CTR]]</f>
        <v>5.2.16. PARTICIPACAO SOCIEDADE COOPERATI</v>
      </c>
      <c r="C304" s="372"/>
      <c r="D304" s="374"/>
      <c r="E304" s="374"/>
      <c r="F304" s="374"/>
      <c r="G304" s="374"/>
      <c r="H304" s="374"/>
      <c r="I304" s="372">
        <f>Fluxo_de_Caixa_Janeiro3459117[[#This Row],[JULHO]]</f>
        <v>0</v>
      </c>
      <c r="J304" s="374">
        <f>Fluxo_de_Caixa_Janeiro345911710[[#This Row],[AGOSTO]]</f>
        <v>0</v>
      </c>
      <c r="K304" s="374">
        <f>Fluxo_de_Caixa_Janeiro34591171012[[#This Row],[SETEMBRO]]</f>
        <v>0</v>
      </c>
      <c r="L304" s="374">
        <f>Fluxo_de_Caixa_Janeiro3459117101215[[#This Row],[OUTUBRO]]</f>
        <v>0</v>
      </c>
      <c r="M304" s="374">
        <f>Fluxo_de_Caixa_Janeiro345911710121516[[#This Row],[NOVEMBRO]]</f>
        <v>0</v>
      </c>
      <c r="N304" s="376">
        <f>Fluxo_de_Caixa_Janeiro34591171012151619[[#This Row],[DEZEMBRO]]</f>
        <v>0</v>
      </c>
      <c r="O304" s="235">
        <f>SUM(Fluxo_de_Caixa_Janeiro31020817[[#This Row],[Janeiro]:[Dezembro]])</f>
        <v>0</v>
      </c>
      <c r="P304" s="26">
        <f t="shared" si="13"/>
        <v>0</v>
      </c>
      <c r="Q304" s="76"/>
      <c r="R304" s="32"/>
    </row>
    <row r="305" spans="2:18" x14ac:dyDescent="0.25">
      <c r="B305" s="391" t="str">
        <f>Fluxo_de_Caixa_Janeiro[[#This Row],[Fluxo de Caixa 2026 CTR]]</f>
        <v>5.2.17. DEVOLUÇÃO DE CAPITAL INVESTIDO</v>
      </c>
      <c r="C305" s="372"/>
      <c r="D305" s="374"/>
      <c r="E305" s="374"/>
      <c r="F305" s="374"/>
      <c r="G305" s="374"/>
      <c r="H305" s="374"/>
      <c r="I305" s="372">
        <f>Fluxo_de_Caixa_Janeiro3459117[[#This Row],[JULHO]]</f>
        <v>0</v>
      </c>
      <c r="J305" s="374">
        <f>Fluxo_de_Caixa_Janeiro345911710[[#This Row],[AGOSTO]]</f>
        <v>0</v>
      </c>
      <c r="K305" s="374">
        <f>Fluxo_de_Caixa_Janeiro34591171012[[#This Row],[SETEMBRO]]</f>
        <v>0</v>
      </c>
      <c r="L305" s="374">
        <f>Fluxo_de_Caixa_Janeiro3459117101215[[#This Row],[OUTUBRO]]</f>
        <v>0</v>
      </c>
      <c r="M305" s="374">
        <f>Fluxo_de_Caixa_Janeiro345911710121516[[#This Row],[NOVEMBRO]]</f>
        <v>0</v>
      </c>
      <c r="N305" s="376">
        <f>Fluxo_de_Caixa_Janeiro34591171012151619[[#This Row],[DEZEMBRO]]</f>
        <v>0</v>
      </c>
      <c r="O305" s="235">
        <f>SUM(Fluxo_de_Caixa_Janeiro31020817[[#This Row],[Janeiro]:[Dezembro]])</f>
        <v>0</v>
      </c>
      <c r="P305" s="26">
        <f t="shared" si="13"/>
        <v>0</v>
      </c>
      <c r="Q305" s="76"/>
      <c r="R305" s="32"/>
    </row>
    <row r="306" spans="2:18" x14ac:dyDescent="0.25">
      <c r="B306" s="391">
        <f>Fluxo_de_Caixa_Janeiro[[#This Row],[Fluxo de Caixa 2026 CTR]]</f>
        <v>0</v>
      </c>
      <c r="C306" s="373"/>
      <c r="D306" s="375"/>
      <c r="E306" s="375"/>
      <c r="F306" s="375"/>
      <c r="G306" s="375"/>
      <c r="H306" s="375"/>
      <c r="I306" s="373">
        <f>Fluxo_de_Caixa_Janeiro3459117[[#This Row],[JULHO]]</f>
        <v>0</v>
      </c>
      <c r="J306" s="375">
        <f>Fluxo_de_Caixa_Janeiro345911710[[#This Row],[AGOSTO]]</f>
        <v>0</v>
      </c>
      <c r="K306" s="375">
        <f>Fluxo_de_Caixa_Janeiro34591171012[[#This Row],[SETEMBRO]]</f>
        <v>0</v>
      </c>
      <c r="L306" s="375">
        <f>Fluxo_de_Caixa_Janeiro3459117101215[[#This Row],[OUTUBRO]]</f>
        <v>0</v>
      </c>
      <c r="M306" s="375">
        <f>Fluxo_de_Caixa_Janeiro345911710121516[[#This Row],[NOVEMBRO]]</f>
        <v>0</v>
      </c>
      <c r="N306" s="377">
        <f>Fluxo_de_Caixa_Janeiro34591171012151619[[#This Row],[DEZEMBRO]]</f>
        <v>0</v>
      </c>
      <c r="O306" s="235">
        <f>SUM(Fluxo_de_Caixa_Janeiro31020817[[#This Row],[Janeiro]:[Dezembro]])</f>
        <v>0</v>
      </c>
      <c r="P306" s="26">
        <f t="shared" si="13"/>
        <v>0</v>
      </c>
      <c r="Q306" s="76"/>
      <c r="R306" s="32"/>
    </row>
    <row r="307" spans="2:18" x14ac:dyDescent="0.25">
      <c r="B307" s="392">
        <f>Fluxo_de_Caixa_Janeiro[[#This Row],[Fluxo de Caixa 2026 CTR]]</f>
        <v>0</v>
      </c>
      <c r="C307" s="372"/>
      <c r="D307" s="374"/>
      <c r="E307" s="374"/>
      <c r="F307" s="374"/>
      <c r="G307" s="374"/>
      <c r="H307" s="374"/>
      <c r="I307" s="372">
        <f>Fluxo_de_Caixa_Janeiro3459117[[#This Row],[JULHO]]</f>
        <v>0</v>
      </c>
      <c r="J307" s="374">
        <f>Fluxo_de_Caixa_Janeiro345911710[[#This Row],[AGOSTO]]</f>
        <v>0</v>
      </c>
      <c r="K307" s="374">
        <f>Fluxo_de_Caixa_Janeiro34591171012[[#This Row],[SETEMBRO]]</f>
        <v>0</v>
      </c>
      <c r="L307" s="374">
        <f>Fluxo_de_Caixa_Janeiro3459117101215[[#This Row],[OUTUBRO]]</f>
        <v>0</v>
      </c>
      <c r="M307" s="374">
        <f>Fluxo_de_Caixa_Janeiro345911710121516[[#This Row],[NOVEMBRO]]</f>
        <v>0</v>
      </c>
      <c r="N307" s="376">
        <f>Fluxo_de_Caixa_Janeiro34591171012151619[[#This Row],[DEZEMBRO]]</f>
        <v>0</v>
      </c>
      <c r="O307" s="235">
        <f>SUM(Fluxo_de_Caixa_Janeiro31020817[[#This Row],[Janeiro]:[Dezembro]])</f>
        <v>0</v>
      </c>
      <c r="P307" s="26">
        <f t="shared" si="13"/>
        <v>0</v>
      </c>
      <c r="Q307" s="76"/>
      <c r="R307" s="32"/>
    </row>
    <row r="308" spans="2:18" x14ac:dyDescent="0.25">
      <c r="B308" s="392">
        <f>Fluxo_de_Caixa_Janeiro[[#This Row],[Fluxo de Caixa 2026 CTR]]</f>
        <v>0</v>
      </c>
      <c r="C308" s="372"/>
      <c r="D308" s="374"/>
      <c r="E308" s="374"/>
      <c r="F308" s="374"/>
      <c r="G308" s="374"/>
      <c r="H308" s="374"/>
      <c r="I308" s="372">
        <f>Fluxo_de_Caixa_Janeiro3459117[[#This Row],[JULHO]]</f>
        <v>0</v>
      </c>
      <c r="J308" s="374">
        <f>Fluxo_de_Caixa_Janeiro345911710[[#This Row],[AGOSTO]]</f>
        <v>0</v>
      </c>
      <c r="K308" s="374">
        <f>Fluxo_de_Caixa_Janeiro34591171012[[#This Row],[SETEMBRO]]</f>
        <v>0</v>
      </c>
      <c r="L308" s="374">
        <f>Fluxo_de_Caixa_Janeiro3459117101215[[#This Row],[OUTUBRO]]</f>
        <v>0</v>
      </c>
      <c r="M308" s="374">
        <f>Fluxo_de_Caixa_Janeiro345911710121516[[#This Row],[NOVEMBRO]]</f>
        <v>0</v>
      </c>
      <c r="N308" s="376">
        <f>Fluxo_de_Caixa_Janeiro34591171012151619[[#This Row],[DEZEMBRO]]</f>
        <v>0</v>
      </c>
      <c r="O308" s="235">
        <f>SUM(Fluxo_de_Caixa_Janeiro31020817[[#This Row],[Janeiro]:[Dezembro]])</f>
        <v>0</v>
      </c>
      <c r="P308" s="26">
        <f t="shared" si="13"/>
        <v>0</v>
      </c>
      <c r="Q308" s="76"/>
      <c r="R308" s="32"/>
    </row>
    <row r="309" spans="2:18" x14ac:dyDescent="0.25">
      <c r="B309" s="392">
        <f>Fluxo_de_Caixa_Janeiro[[#This Row],[Fluxo de Caixa 2026 CTR]]</f>
        <v>0</v>
      </c>
      <c r="C309" s="373"/>
      <c r="D309" s="375"/>
      <c r="E309" s="375"/>
      <c r="F309" s="375"/>
      <c r="G309" s="375"/>
      <c r="H309" s="375"/>
      <c r="I309" s="373">
        <f>Fluxo_de_Caixa_Janeiro3459117[[#This Row],[JULHO]]</f>
        <v>0</v>
      </c>
      <c r="J309" s="375">
        <f>Fluxo_de_Caixa_Janeiro345911710[[#This Row],[AGOSTO]]</f>
        <v>0</v>
      </c>
      <c r="K309" s="375">
        <f>Fluxo_de_Caixa_Janeiro34591171012[[#This Row],[SETEMBRO]]</f>
        <v>0</v>
      </c>
      <c r="L309" s="375">
        <f>Fluxo_de_Caixa_Janeiro3459117101215[[#This Row],[OUTUBRO]]</f>
        <v>0</v>
      </c>
      <c r="M309" s="375">
        <f>Fluxo_de_Caixa_Janeiro345911710121516[[#This Row],[NOVEMBRO]]</f>
        <v>0</v>
      </c>
      <c r="N309" s="377">
        <f>Fluxo_de_Caixa_Janeiro34591171012151619[[#This Row],[DEZEMBRO]]</f>
        <v>0</v>
      </c>
      <c r="O309" s="235">
        <f>SUM(Fluxo_de_Caixa_Janeiro31020817[[#This Row],[Janeiro]:[Dezembro]])</f>
        <v>0</v>
      </c>
      <c r="P309" s="26">
        <f t="shared" si="13"/>
        <v>0</v>
      </c>
      <c r="Q309" s="76"/>
      <c r="R309" s="32"/>
    </row>
    <row r="310" spans="2:18" x14ac:dyDescent="0.25">
      <c r="B310" s="270">
        <f>Fluxo_de_Caixa_Janeiro[[#This Row],[Fluxo de Caixa 2026 CTR]]</f>
        <v>0</v>
      </c>
      <c r="C310" s="45"/>
      <c r="D310" s="80"/>
      <c r="E310" s="80"/>
      <c r="F310" s="80"/>
      <c r="G310" s="80"/>
      <c r="H310" s="80"/>
      <c r="I310" s="45">
        <f>Fluxo_de_Caixa_Janeiro3459117[[#This Row],[JULHO]]</f>
        <v>0</v>
      </c>
      <c r="J310" s="80">
        <f>Fluxo_de_Caixa_Janeiro345911710[[#This Row],[AGOSTO]]</f>
        <v>0</v>
      </c>
      <c r="K310" s="80">
        <f>Fluxo_de_Caixa_Janeiro34591171012[[#This Row],[SETEMBRO]]</f>
        <v>0</v>
      </c>
      <c r="L310" s="80">
        <f>Fluxo_de_Caixa_Janeiro3459117101215[[#This Row],[OUTUBRO]]</f>
        <v>0</v>
      </c>
      <c r="M310" s="80">
        <f>Fluxo_de_Caixa_Janeiro345911710121516[[#This Row],[NOVEMBRO]]</f>
        <v>0</v>
      </c>
      <c r="N310" s="134">
        <f>Fluxo_de_Caixa_Janeiro34591171012151619[[#This Row],[DEZEMBRO]]</f>
        <v>0</v>
      </c>
      <c r="O310" s="235">
        <f>SUM(Fluxo_de_Caixa_Janeiro31020817[[#This Row],[Janeiro]:[Dezembro]])</f>
        <v>0</v>
      </c>
      <c r="P310" s="26">
        <f t="shared" si="13"/>
        <v>0</v>
      </c>
      <c r="Q310" s="76"/>
      <c r="R310" s="32" t="str">
        <f>IF(Fluxo_de_Caixa_Janeiro31020817[[#This Row],[% ACUMULADO  2º SEMEST 2025]]&lt;=Fluxo_de_Caixa_Janeiro31020817[[#This Row],[Coluna1]],"VERDADEIRO","FALSO")</f>
        <v>VERDADEIRO</v>
      </c>
    </row>
    <row r="311" spans="2:18" x14ac:dyDescent="0.25">
      <c r="B311" s="270">
        <f>Fluxo_de_Caixa_Janeiro[[#This Row],[Fluxo de Caixa 2026 CTR]]</f>
        <v>0</v>
      </c>
      <c r="C311" s="45"/>
      <c r="D311" s="80"/>
      <c r="E311" s="80"/>
      <c r="F311" s="80"/>
      <c r="G311" s="80"/>
      <c r="H311" s="80"/>
      <c r="I311" s="45">
        <f>Fluxo_de_Caixa_Janeiro3459117[[#This Row],[JULHO]]</f>
        <v>0</v>
      </c>
      <c r="J311" s="80">
        <f>Fluxo_de_Caixa_Janeiro345911710[[#This Row],[AGOSTO]]</f>
        <v>0</v>
      </c>
      <c r="K311" s="80">
        <f>Fluxo_de_Caixa_Janeiro34591171012[[#This Row],[SETEMBRO]]</f>
        <v>0</v>
      </c>
      <c r="L311" s="80">
        <f>Fluxo_de_Caixa_Janeiro3459117101215[[#This Row],[OUTUBRO]]</f>
        <v>0</v>
      </c>
      <c r="M311" s="80">
        <f>Fluxo_de_Caixa_Janeiro345911710121516[[#This Row],[NOVEMBRO]]</f>
        <v>0</v>
      </c>
      <c r="N311" s="134">
        <f>Fluxo_de_Caixa_Janeiro34591171012151619[[#This Row],[DEZEMBRO]]</f>
        <v>0</v>
      </c>
      <c r="O311" s="235">
        <f>SUM(Fluxo_de_Caixa_Janeiro31020817[[#This Row],[Janeiro]:[Dezembro]])</f>
        <v>0</v>
      </c>
      <c r="P311" s="26">
        <f t="shared" si="13"/>
        <v>0</v>
      </c>
      <c r="Q311" s="76"/>
      <c r="R311" s="32" t="str">
        <f>IF(Fluxo_de_Caixa_Janeiro31020817[[#This Row],[% ACUMULADO  2º SEMEST 2025]]&lt;=Fluxo_de_Caixa_Janeiro31020817[[#This Row],[Coluna1]],"VERDADEIRO","FALSO")</f>
        <v>VERDADEIRO</v>
      </c>
    </row>
    <row r="312" spans="2:18" x14ac:dyDescent="0.25">
      <c r="B312" s="270">
        <f>Fluxo_de_Caixa_Janeiro[[#This Row],[Fluxo de Caixa 2026 CTR]]</f>
        <v>0</v>
      </c>
      <c r="C312" s="45"/>
      <c r="D312" s="80"/>
      <c r="E312" s="80"/>
      <c r="F312" s="80"/>
      <c r="G312" s="80"/>
      <c r="H312" s="80"/>
      <c r="I312" s="45">
        <f>Fluxo_de_Caixa_Janeiro3459117[[#This Row],[JULHO]]</f>
        <v>0</v>
      </c>
      <c r="J312" s="80">
        <f>Fluxo_de_Caixa_Janeiro345911710[[#This Row],[AGOSTO]]</f>
        <v>0</v>
      </c>
      <c r="K312" s="80">
        <f>Fluxo_de_Caixa_Janeiro34591171012[[#This Row],[SETEMBRO]]</f>
        <v>0</v>
      </c>
      <c r="L312" s="80">
        <f>Fluxo_de_Caixa_Janeiro3459117101215[[#This Row],[OUTUBRO]]</f>
        <v>0</v>
      </c>
      <c r="M312" s="80">
        <f>Fluxo_de_Caixa_Janeiro345911710121516[[#This Row],[NOVEMBRO]]</f>
        <v>0</v>
      </c>
      <c r="N312" s="134">
        <f>Fluxo_de_Caixa_Janeiro34591171012151619[[#This Row],[DEZEMBRO]]</f>
        <v>0</v>
      </c>
      <c r="O312" s="235">
        <f>SUM(Fluxo_de_Caixa_Janeiro31020817[[#This Row],[Janeiro]:[Dezembro]])</f>
        <v>0</v>
      </c>
      <c r="P312" s="26">
        <f t="shared" si="13"/>
        <v>0</v>
      </c>
      <c r="Q312" s="76"/>
      <c r="R312" s="32" t="str">
        <f>IF(Fluxo_de_Caixa_Janeiro31020817[[#This Row],[% ACUMULADO  2º SEMEST 2025]]&lt;=Fluxo_de_Caixa_Janeiro31020817[[#This Row],[Coluna1]],"VERDADEIRO","FALSO")</f>
        <v>VERDADEIRO</v>
      </c>
    </row>
    <row r="313" spans="2:18" x14ac:dyDescent="0.25">
      <c r="B313" s="270">
        <f>Fluxo_de_Caixa_Janeiro[[#This Row],[Fluxo de Caixa 2026 CTR]]</f>
        <v>0</v>
      </c>
      <c r="C313" s="45"/>
      <c r="D313" s="80"/>
      <c r="E313" s="80"/>
      <c r="F313" s="80"/>
      <c r="G313" s="80"/>
      <c r="H313" s="80"/>
      <c r="I313" s="45">
        <f>Fluxo_de_Caixa_Janeiro3459117[[#This Row],[JULHO]]</f>
        <v>0</v>
      </c>
      <c r="J313" s="80">
        <f>Fluxo_de_Caixa_Janeiro345911710[[#This Row],[AGOSTO]]</f>
        <v>0</v>
      </c>
      <c r="K313" s="80">
        <f>Fluxo_de_Caixa_Janeiro34591171012[[#This Row],[SETEMBRO]]</f>
        <v>0</v>
      </c>
      <c r="L313" s="80">
        <f>Fluxo_de_Caixa_Janeiro3459117101215[[#This Row],[OUTUBRO]]</f>
        <v>0</v>
      </c>
      <c r="M313" s="80">
        <f>Fluxo_de_Caixa_Janeiro345911710121516[[#This Row],[NOVEMBRO]]</f>
        <v>0</v>
      </c>
      <c r="N313" s="134">
        <f>Fluxo_de_Caixa_Janeiro34591171012151619[[#This Row],[DEZEMBRO]]</f>
        <v>0</v>
      </c>
      <c r="O313" s="235">
        <f>SUM(Fluxo_de_Caixa_Janeiro31020817[[#This Row],[Janeiro]:[Dezembro]])</f>
        <v>0</v>
      </c>
      <c r="P313" s="26">
        <f t="shared" si="13"/>
        <v>0</v>
      </c>
      <c r="Q313" s="76"/>
      <c r="R313" s="32" t="str">
        <f>IF(Fluxo_de_Caixa_Janeiro31020817[[#This Row],[% ACUMULADO  2º SEMEST 2025]]&lt;=Fluxo_de_Caixa_Janeiro31020817[[#This Row],[Coluna1]],"VERDADEIRO","FALSO")</f>
        <v>VERDADEIRO</v>
      </c>
    </row>
    <row r="314" spans="2:18" ht="15.75" thickBot="1" x14ac:dyDescent="0.3">
      <c r="B314" s="280">
        <f>Fluxo_de_Caixa_Janeiro[[#This Row],[Fluxo de Caixa 2026 CTR]]</f>
        <v>0</v>
      </c>
      <c r="C314" s="163"/>
      <c r="D314" s="106"/>
      <c r="E314" s="106"/>
      <c r="F314" s="106"/>
      <c r="G314" s="106"/>
      <c r="H314" s="106"/>
      <c r="I314" s="163">
        <f>Fluxo_de_Caixa_Janeiro3459117[[#This Row],[JULHO]]</f>
        <v>0</v>
      </c>
      <c r="J314" s="106">
        <f>Fluxo_de_Caixa_Janeiro345911710[[#This Row],[AGOSTO]]</f>
        <v>0</v>
      </c>
      <c r="K314" s="106">
        <f>Fluxo_de_Caixa_Janeiro34591171012[[#This Row],[SETEMBRO]]</f>
        <v>0</v>
      </c>
      <c r="L314" s="106">
        <f>Fluxo_de_Caixa_Janeiro3459117101215[[#This Row],[OUTUBRO]]</f>
        <v>0</v>
      </c>
      <c r="M314" s="106">
        <f>Fluxo_de_Caixa_Janeiro345911710121516[[#This Row],[NOVEMBRO]]</f>
        <v>0</v>
      </c>
      <c r="N314" s="135">
        <f>Fluxo_de_Caixa_Janeiro34591171012151619[[#This Row],[DEZEMBRO]]</f>
        <v>0</v>
      </c>
      <c r="O314" s="236">
        <f>SUM(Fluxo_de_Caixa_Janeiro31020817[[#This Row],[Janeiro]:[Dezembro]])</f>
        <v>0</v>
      </c>
      <c r="P314" s="148">
        <f t="shared" si="13"/>
        <v>0</v>
      </c>
      <c r="Q314" s="107"/>
      <c r="R314" s="32" t="str">
        <f>IF(Fluxo_de_Caixa_Janeiro31020817[[#This Row],[% ACUMULADO  2º SEMEST 2025]]&lt;=Fluxo_de_Caixa_Janeiro31020817[[#This Row],[Coluna1]],"VERDADEIRO","FALSO")</f>
        <v>VERDADEIRO</v>
      </c>
    </row>
    <row r="315" spans="2:18" ht="19.5" thickBot="1" x14ac:dyDescent="0.35">
      <c r="B315" s="168" t="str">
        <f>Fluxo_de_Caixa_Janeiro[[#This Row],[Fluxo de Caixa 2026 CTR]]</f>
        <v>5.3. INVESTIMENTO EM IMOBILIZADOS</v>
      </c>
      <c r="C315" s="158"/>
      <c r="D315" s="97"/>
      <c r="E315" s="97"/>
      <c r="F315" s="97"/>
      <c r="G315" s="97"/>
      <c r="H315" s="97"/>
      <c r="I315" s="158">
        <f>Fluxo_de_Caixa_Janeiro3459117[[#This Row],[JULHO]]</f>
        <v>0</v>
      </c>
      <c r="J315" s="97">
        <f>Fluxo_de_Caixa_Janeiro345911710[[#This Row],[AGOSTO]]</f>
        <v>0</v>
      </c>
      <c r="K315" s="97">
        <f>Fluxo_de_Caixa_Janeiro34591171012[[#This Row],[SETEMBRO]]</f>
        <v>0</v>
      </c>
      <c r="L315" s="97">
        <f>Fluxo_de_Caixa_Janeiro3459117101215[[#This Row],[OUTUBRO]]</f>
        <v>0</v>
      </c>
      <c r="M315" s="97">
        <f>Fluxo_de_Caixa_Janeiro345911710121516[[#This Row],[NOVEMBRO]]</f>
        <v>0</v>
      </c>
      <c r="N315" s="129">
        <f>Fluxo_de_Caixa_Janeiro34591171012151619[[#This Row],[DEZEMBRO]]</f>
        <v>0</v>
      </c>
      <c r="O315" s="226">
        <f>SUM(Fluxo_de_Caixa_Janeiro31020817[[#This Row],[Janeiro]:[Dezembro]])</f>
        <v>0</v>
      </c>
      <c r="P315" s="144">
        <f t="shared" si="13"/>
        <v>0</v>
      </c>
      <c r="Q315" s="98"/>
      <c r="R315" s="32" t="str">
        <f>IF(Fluxo_de_Caixa_Janeiro31020817[[#This Row],[% ACUMULADO  2º SEMEST 2025]]&lt;=Fluxo_de_Caixa_Janeiro31020817[[#This Row],[Coluna1]],"VERDADEIRO","FALSO")</f>
        <v>VERDADEIRO</v>
      </c>
    </row>
    <row r="316" spans="2:18" ht="15" customHeight="1" x14ac:dyDescent="0.25">
      <c r="B316" s="279" t="str">
        <f>Fluxo_de_Caixa_Janeiro[[#This Row],[Fluxo de Caixa 2026 CTR]]</f>
        <v>5.3.01.MOVEIS E UTENSI. IMOBILIZADOS</v>
      </c>
      <c r="C316" s="162"/>
      <c r="D316" s="104"/>
      <c r="E316" s="104"/>
      <c r="F316" s="104"/>
      <c r="G316" s="104"/>
      <c r="H316" s="104"/>
      <c r="I316" s="162">
        <f>Fluxo_de_Caixa_Janeiro3459117[[#This Row],[JULHO]]</f>
        <v>0</v>
      </c>
      <c r="J316" s="104">
        <f>Fluxo_de_Caixa_Janeiro345911710[[#This Row],[AGOSTO]]</f>
        <v>0</v>
      </c>
      <c r="K316" s="104">
        <f>Fluxo_de_Caixa_Janeiro34591171012[[#This Row],[SETEMBRO]]</f>
        <v>0</v>
      </c>
      <c r="L316" s="104">
        <f>Fluxo_de_Caixa_Janeiro3459117101215[[#This Row],[OUTUBRO]]</f>
        <v>0</v>
      </c>
      <c r="M316" s="104">
        <f>Fluxo_de_Caixa_Janeiro345911710121516[[#This Row],[NOVEMBRO]]</f>
        <v>0</v>
      </c>
      <c r="N316" s="133">
        <f>Fluxo_de_Caixa_Janeiro34591171012151619[[#This Row],[DEZEMBRO]]</f>
        <v>0</v>
      </c>
      <c r="O316" s="234">
        <f>SUM(Fluxo_de_Caixa_Janeiro31020817[[#This Row],[Janeiro]:[Dezembro]])</f>
        <v>0</v>
      </c>
      <c r="P316" s="147">
        <f t="shared" si="13"/>
        <v>0</v>
      </c>
      <c r="Q316" s="105"/>
      <c r="R316" s="32" t="str">
        <f>IF(Fluxo_de_Caixa_Janeiro31020817[[#This Row],[% ACUMULADO  2º SEMEST 2025]]&lt;=Fluxo_de_Caixa_Janeiro31020817[[#This Row],[Coluna1]],"VERDADEIRO","FALSO")</f>
        <v>VERDADEIRO</v>
      </c>
    </row>
    <row r="317" spans="2:18" ht="15" customHeight="1" x14ac:dyDescent="0.25">
      <c r="B317" s="391" t="str">
        <f>Fluxo_de_Caixa_Janeiro[[#This Row],[Fluxo de Caixa 2026 CTR]]</f>
        <v>5.3.02.MAQUINAS E EQUIPAM. IMOBILIZADOS</v>
      </c>
      <c r="C317" s="372"/>
      <c r="D317" s="374"/>
      <c r="E317" s="374"/>
      <c r="F317" s="374"/>
      <c r="G317" s="374"/>
      <c r="H317" s="374"/>
      <c r="I317" s="372">
        <f>Fluxo_de_Caixa_Janeiro3459117[[#This Row],[JULHO]]</f>
        <v>0</v>
      </c>
      <c r="J317" s="374">
        <f>Fluxo_de_Caixa_Janeiro345911710[[#This Row],[AGOSTO]]</f>
        <v>0</v>
      </c>
      <c r="K317" s="374">
        <f>Fluxo_de_Caixa_Janeiro34591171012[[#This Row],[SETEMBRO]]</f>
        <v>0</v>
      </c>
      <c r="L317" s="374">
        <f>Fluxo_de_Caixa_Janeiro3459117101215[[#This Row],[OUTUBRO]]</f>
        <v>0</v>
      </c>
      <c r="M317" s="374">
        <f>Fluxo_de_Caixa_Janeiro345911710121516[[#This Row],[NOVEMBRO]]</f>
        <v>0</v>
      </c>
      <c r="N317" s="376">
        <f>Fluxo_de_Caixa_Janeiro34591171012151619[[#This Row],[DEZEMBRO]]</f>
        <v>0</v>
      </c>
      <c r="O317" s="234">
        <f>SUM(Fluxo_de_Caixa_Janeiro31020817[[#This Row],[Janeiro]:[Dezembro]])</f>
        <v>0</v>
      </c>
      <c r="P317" s="147">
        <f t="shared" si="13"/>
        <v>0</v>
      </c>
      <c r="Q317" s="105"/>
      <c r="R317" s="32"/>
    </row>
    <row r="318" spans="2:18" ht="15" customHeight="1" x14ac:dyDescent="0.25">
      <c r="B318" s="391" t="str">
        <f>Fluxo_de_Caixa_Janeiro[[#This Row],[Fluxo de Caixa 2026 CTR]]</f>
        <v>5.3.03.EQUIP. INFORMATICA IMOBILIZADOS</v>
      </c>
      <c r="C318" s="379"/>
      <c r="D318" s="381"/>
      <c r="E318" s="381"/>
      <c r="F318" s="381"/>
      <c r="G318" s="381"/>
      <c r="H318" s="381"/>
      <c r="I318" s="379">
        <f>Fluxo_de_Caixa_Janeiro3459117[[#This Row],[JULHO]]</f>
        <v>0</v>
      </c>
      <c r="J318" s="381">
        <f>Fluxo_de_Caixa_Janeiro345911710[[#This Row],[AGOSTO]]</f>
        <v>0</v>
      </c>
      <c r="K318" s="381">
        <f>Fluxo_de_Caixa_Janeiro34591171012[[#This Row],[SETEMBRO]]</f>
        <v>0</v>
      </c>
      <c r="L318" s="381">
        <f>Fluxo_de_Caixa_Janeiro3459117101215[[#This Row],[OUTUBRO]]</f>
        <v>0</v>
      </c>
      <c r="M318" s="381">
        <f>Fluxo_de_Caixa_Janeiro345911710121516[[#This Row],[NOVEMBRO]]</f>
        <v>0</v>
      </c>
      <c r="N318" s="383">
        <f>Fluxo_de_Caixa_Janeiro34591171012151619[[#This Row],[DEZEMBRO]]</f>
        <v>0</v>
      </c>
      <c r="O318" s="234">
        <f>SUM(Fluxo_de_Caixa_Janeiro31020817[[#This Row],[Janeiro]:[Dezembro]])</f>
        <v>0</v>
      </c>
      <c r="P318" s="147">
        <f t="shared" si="13"/>
        <v>0</v>
      </c>
      <c r="Q318" s="105"/>
      <c r="R318" s="32"/>
    </row>
    <row r="319" spans="2:18" ht="15" customHeight="1" x14ac:dyDescent="0.25">
      <c r="B319" s="391" t="str">
        <f>Fluxo_de_Caixa_Janeiro[[#This Row],[Fluxo de Caixa 2026 CTR]]</f>
        <v>5.3.05.AQUISICAO DE VEICU PESADO-IMOB</v>
      </c>
      <c r="C319" s="379"/>
      <c r="D319" s="381"/>
      <c r="E319" s="381"/>
      <c r="F319" s="381"/>
      <c r="G319" s="381"/>
      <c r="H319" s="381"/>
      <c r="I319" s="379">
        <f>Fluxo_de_Caixa_Janeiro3459117[[#This Row],[JULHO]]</f>
        <v>0</v>
      </c>
      <c r="J319" s="381">
        <f>Fluxo_de_Caixa_Janeiro345911710[[#This Row],[AGOSTO]]</f>
        <v>0</v>
      </c>
      <c r="K319" s="381">
        <f>Fluxo_de_Caixa_Janeiro34591171012[[#This Row],[SETEMBRO]]</f>
        <v>0</v>
      </c>
      <c r="L319" s="381">
        <f>Fluxo_de_Caixa_Janeiro3459117101215[[#This Row],[OUTUBRO]]</f>
        <v>0</v>
      </c>
      <c r="M319" s="381">
        <f>Fluxo_de_Caixa_Janeiro345911710121516[[#This Row],[NOVEMBRO]]</f>
        <v>0</v>
      </c>
      <c r="N319" s="383">
        <f>Fluxo_de_Caixa_Janeiro34591171012151619[[#This Row],[DEZEMBRO]]</f>
        <v>0</v>
      </c>
      <c r="O319" s="234">
        <f>SUM(Fluxo_de_Caixa_Janeiro31020817[[#This Row],[Janeiro]:[Dezembro]])</f>
        <v>0</v>
      </c>
      <c r="P319" s="147">
        <f t="shared" si="13"/>
        <v>0</v>
      </c>
      <c r="Q319" s="105"/>
      <c r="R319" s="32"/>
    </row>
    <row r="320" spans="2:18" ht="15" customHeight="1" x14ac:dyDescent="0.25">
      <c r="B320" s="391" t="str">
        <f>Fluxo_de_Caixa_Janeiro[[#This Row],[Fluxo de Caixa 2026 CTR]]</f>
        <v>5.3.06.AQUISICAO DE OUTROS VEICUL-IMOB</v>
      </c>
      <c r="C320" s="379"/>
      <c r="D320" s="381"/>
      <c r="E320" s="381"/>
      <c r="F320" s="381"/>
      <c r="G320" s="381"/>
      <c r="H320" s="381"/>
      <c r="I320" s="379">
        <f>Fluxo_de_Caixa_Janeiro3459117[[#This Row],[JULHO]]</f>
        <v>0</v>
      </c>
      <c r="J320" s="381">
        <f>Fluxo_de_Caixa_Janeiro345911710[[#This Row],[AGOSTO]]</f>
        <v>0</v>
      </c>
      <c r="K320" s="381">
        <f>Fluxo_de_Caixa_Janeiro34591171012[[#This Row],[SETEMBRO]]</f>
        <v>0</v>
      </c>
      <c r="L320" s="381">
        <f>Fluxo_de_Caixa_Janeiro3459117101215[[#This Row],[OUTUBRO]]</f>
        <v>0</v>
      </c>
      <c r="M320" s="381">
        <f>Fluxo_de_Caixa_Janeiro345911710121516[[#This Row],[NOVEMBRO]]</f>
        <v>0</v>
      </c>
      <c r="N320" s="383">
        <f>Fluxo_de_Caixa_Janeiro34591171012151619[[#This Row],[DEZEMBRO]]</f>
        <v>0</v>
      </c>
      <c r="O320" s="234">
        <f>SUM(Fluxo_de_Caixa_Janeiro31020817[[#This Row],[Janeiro]:[Dezembro]])</f>
        <v>0</v>
      </c>
      <c r="P320" s="147">
        <f t="shared" si="13"/>
        <v>0</v>
      </c>
      <c r="Q320" s="105"/>
      <c r="R320" s="32"/>
    </row>
    <row r="321" spans="2:221" ht="15" customHeight="1" thickBot="1" x14ac:dyDescent="0.3">
      <c r="B321" s="391">
        <f>Fluxo_de_Caixa_Janeiro[[#This Row],[Fluxo de Caixa 2026 CTR]]</f>
        <v>0</v>
      </c>
      <c r="C321" s="379"/>
      <c r="D321" s="381"/>
      <c r="E321" s="381"/>
      <c r="F321" s="381"/>
      <c r="G321" s="381"/>
      <c r="H321" s="381"/>
      <c r="I321" s="379">
        <f>Fluxo_de_Caixa_Janeiro3459117[[#This Row],[JULHO]]</f>
        <v>0</v>
      </c>
      <c r="J321" s="381">
        <f>Fluxo_de_Caixa_Janeiro345911710[[#This Row],[AGOSTO]]</f>
        <v>0</v>
      </c>
      <c r="K321" s="381">
        <f>Fluxo_de_Caixa_Janeiro34591171012[[#This Row],[SETEMBRO]]</f>
        <v>0</v>
      </c>
      <c r="L321" s="381">
        <f>Fluxo_de_Caixa_Janeiro3459117101215[[#This Row],[OUTUBRO]]</f>
        <v>0</v>
      </c>
      <c r="M321" s="381">
        <f>Fluxo_de_Caixa_Janeiro345911710121516[[#This Row],[NOVEMBRO]]</f>
        <v>0</v>
      </c>
      <c r="N321" s="383">
        <f>Fluxo_de_Caixa_Janeiro34591171012151619[[#This Row],[DEZEMBRO]]</f>
        <v>0</v>
      </c>
      <c r="O321" s="234">
        <f>SUM(Fluxo_de_Caixa_Janeiro31020817[[#This Row],[Janeiro]:[Dezembro]])</f>
        <v>0</v>
      </c>
      <c r="P321" s="147">
        <f t="shared" si="13"/>
        <v>0</v>
      </c>
      <c r="Q321" s="105"/>
      <c r="R321" s="32"/>
    </row>
    <row r="322" spans="2:221" ht="19.5" thickBot="1" x14ac:dyDescent="0.35">
      <c r="B322" s="168" t="str">
        <f>Fluxo_de_Caixa_Janeiro[[#This Row],[Fluxo de Caixa 2026 CTR]]</f>
        <v>5.4. DISTRIBUIÇÃO DE LUCROS E RESULTADOS</v>
      </c>
      <c r="C322" s="158"/>
      <c r="D322" s="97"/>
      <c r="E322" s="97"/>
      <c r="F322" s="97"/>
      <c r="G322" s="97"/>
      <c r="H322" s="97"/>
      <c r="I322" s="158">
        <f>Fluxo_de_Caixa_Janeiro3459117[[#This Row],[JULHO]]</f>
        <v>0</v>
      </c>
      <c r="J322" s="97">
        <f>Fluxo_de_Caixa_Janeiro345911710[[#This Row],[AGOSTO]]</f>
        <v>0</v>
      </c>
      <c r="K322" s="97">
        <f>Fluxo_de_Caixa_Janeiro34591171012[[#This Row],[SETEMBRO]]</f>
        <v>0</v>
      </c>
      <c r="L322" s="97">
        <f>Fluxo_de_Caixa_Janeiro3459117101215[[#This Row],[OUTUBRO]]</f>
        <v>0</v>
      </c>
      <c r="M322" s="97">
        <f>Fluxo_de_Caixa_Janeiro345911710121516[[#This Row],[NOVEMBRO]]</f>
        <v>0</v>
      </c>
      <c r="N322" s="129">
        <f>Fluxo_de_Caixa_Janeiro34591171012151619[[#This Row],[DEZEMBRO]]</f>
        <v>0</v>
      </c>
      <c r="O322" s="226">
        <f>SUM(Fluxo_de_Caixa_Janeiro31020817[[#This Row],[Janeiro]:[Dezembro]])</f>
        <v>0</v>
      </c>
      <c r="P322" s="144">
        <f t="shared" si="13"/>
        <v>0</v>
      </c>
      <c r="Q322" s="98"/>
      <c r="R322" s="32"/>
    </row>
    <row r="323" spans="2:221" ht="15" customHeight="1" x14ac:dyDescent="0.25">
      <c r="B323" s="391" t="str">
        <f>Fluxo_de_Caixa_Janeiro[[#This Row],[Fluxo de Caixa 2026 CTR]]</f>
        <v>5.4.01.DISTRIBUICAO DE LUCROS SOCIOS</v>
      </c>
      <c r="C323" s="380"/>
      <c r="D323" s="382"/>
      <c r="E323" s="382"/>
      <c r="F323" s="382"/>
      <c r="G323" s="382"/>
      <c r="H323" s="382"/>
      <c r="I323" s="380">
        <f>Fluxo_de_Caixa_Janeiro3459117[[#This Row],[JULHO]]</f>
        <v>0</v>
      </c>
      <c r="J323" s="382">
        <f>Fluxo_de_Caixa_Janeiro345911710[[#This Row],[AGOSTO]]</f>
        <v>0</v>
      </c>
      <c r="K323" s="382">
        <f>Fluxo_de_Caixa_Janeiro34591171012[[#This Row],[SETEMBRO]]</f>
        <v>0</v>
      </c>
      <c r="L323" s="382">
        <f>Fluxo_de_Caixa_Janeiro3459117101215[[#This Row],[OUTUBRO]]</f>
        <v>0</v>
      </c>
      <c r="M323" s="382">
        <f>Fluxo_de_Caixa_Janeiro345911710121516[[#This Row],[NOVEMBRO]]</f>
        <v>0</v>
      </c>
      <c r="N323" s="384">
        <f>Fluxo_de_Caixa_Janeiro34591171012151619[[#This Row],[DEZEMBRO]]</f>
        <v>0</v>
      </c>
      <c r="O323" s="235">
        <f>SUM(Fluxo_de_Caixa_Janeiro31020817[[#This Row],[Janeiro]:[Dezembro]])</f>
        <v>0</v>
      </c>
      <c r="P323" s="26">
        <f t="shared" si="13"/>
        <v>0</v>
      </c>
      <c r="Q323" s="76"/>
      <c r="R323" s="32"/>
    </row>
    <row r="324" spans="2:221" ht="15" customHeight="1" x14ac:dyDescent="0.25">
      <c r="B324" s="270" t="str">
        <f>Fluxo_de_Caixa_Janeiro[[#This Row],[Fluxo de Caixa 2026 CTR]]</f>
        <v>5.4.02.COMBUST E LUBRIFICANT - DIRETORIA</v>
      </c>
      <c r="C324" s="45"/>
      <c r="D324" s="80"/>
      <c r="E324" s="80"/>
      <c r="F324" s="80"/>
      <c r="G324" s="80"/>
      <c r="H324" s="80"/>
      <c r="I324" s="45">
        <f>Fluxo_de_Caixa_Janeiro3459117[[#This Row],[JULHO]]</f>
        <v>0</v>
      </c>
      <c r="J324" s="80">
        <f>Fluxo_de_Caixa_Janeiro345911710[[#This Row],[AGOSTO]]</f>
        <v>0</v>
      </c>
      <c r="K324" s="80">
        <f>Fluxo_de_Caixa_Janeiro34591171012[[#This Row],[SETEMBRO]]</f>
        <v>0</v>
      </c>
      <c r="L324" s="80">
        <f>Fluxo_de_Caixa_Janeiro3459117101215[[#This Row],[OUTUBRO]]</f>
        <v>0</v>
      </c>
      <c r="M324" s="80">
        <f>Fluxo_de_Caixa_Janeiro345911710121516[[#This Row],[NOVEMBRO]]</f>
        <v>0</v>
      </c>
      <c r="N324" s="134">
        <f>Fluxo_de_Caixa_Janeiro34591171012151619[[#This Row],[DEZEMBRO]]</f>
        <v>0</v>
      </c>
      <c r="O324" s="235">
        <f>SUM(Fluxo_de_Caixa_Janeiro31020817[[#This Row],[Janeiro]:[Dezembro]])</f>
        <v>0</v>
      </c>
      <c r="P324" s="26">
        <f t="shared" si="13"/>
        <v>0</v>
      </c>
      <c r="Q324" s="76"/>
      <c r="R324" s="32" t="str">
        <f>IF(Fluxo_de_Caixa_Janeiro31020817[[#This Row],[% ACUMULADO  2º SEMEST 2025]]&lt;=Fluxo_de_Caixa_Janeiro31020817[[#This Row],[Coluna1]],"VERDADEIRO","FALSO")</f>
        <v>VERDADEIRO</v>
      </c>
    </row>
    <row r="325" spans="2:221" ht="15" customHeight="1" x14ac:dyDescent="0.25">
      <c r="B325" s="270" t="str">
        <f>Fluxo_de_Caixa_Janeiro[[#This Row],[Fluxo de Caixa 2026 CTR]]</f>
        <v>5.4.03.VIAGENS E ESTADAS - DIRETORIA</v>
      </c>
      <c r="C325" s="45"/>
      <c r="D325" s="80"/>
      <c r="E325" s="80"/>
      <c r="F325" s="80"/>
      <c r="G325" s="80"/>
      <c r="H325" s="80"/>
      <c r="I325" s="45">
        <f>Fluxo_de_Caixa_Janeiro3459117[[#This Row],[JULHO]]</f>
        <v>0</v>
      </c>
      <c r="J325" s="80">
        <f>Fluxo_de_Caixa_Janeiro345911710[[#This Row],[AGOSTO]]</f>
        <v>0</v>
      </c>
      <c r="K325" s="80">
        <f>Fluxo_de_Caixa_Janeiro34591171012[[#This Row],[SETEMBRO]]</f>
        <v>0</v>
      </c>
      <c r="L325" s="80">
        <f>Fluxo_de_Caixa_Janeiro3459117101215[[#This Row],[OUTUBRO]]</f>
        <v>0</v>
      </c>
      <c r="M325" s="80">
        <f>Fluxo_de_Caixa_Janeiro345911710121516[[#This Row],[NOVEMBRO]]</f>
        <v>0</v>
      </c>
      <c r="N325" s="134">
        <f>Fluxo_de_Caixa_Janeiro34591171012151619[[#This Row],[DEZEMBRO]]</f>
        <v>0</v>
      </c>
      <c r="O325" s="235">
        <f>SUM(Fluxo_de_Caixa_Janeiro31020817[[#This Row],[Janeiro]:[Dezembro]])</f>
        <v>0</v>
      </c>
      <c r="P325" s="26">
        <f t="shared" si="13"/>
        <v>0</v>
      </c>
      <c r="Q325" s="76"/>
      <c r="R325" s="32" t="str">
        <f>IF(Fluxo_de_Caixa_Janeiro31020817[[#This Row],[% ACUMULADO  2º SEMEST 2025]]&lt;=Fluxo_de_Caixa_Janeiro31020817[[#This Row],[Coluna1]],"VERDADEIRO","FALSO")</f>
        <v>VERDADEIRO</v>
      </c>
    </row>
    <row r="326" spans="2:221" ht="15" customHeight="1" x14ac:dyDescent="0.25">
      <c r="B326" s="270" t="str">
        <f>Fluxo_de_Caixa_Janeiro[[#This Row],[Fluxo de Caixa 2026 CTR]]</f>
        <v>5.4.04.DISTRIBUIÇÃO DE LUCROS E RESULTADOS</v>
      </c>
      <c r="C326" s="45"/>
      <c r="D326" s="80"/>
      <c r="E326" s="80"/>
      <c r="F326" s="80"/>
      <c r="G326" s="80"/>
      <c r="H326" s="80"/>
      <c r="I326" s="45">
        <f>Fluxo_de_Caixa_Janeiro3459117[[#This Row],[JULHO]]</f>
        <v>0</v>
      </c>
      <c r="J326" s="80">
        <f>Fluxo_de_Caixa_Janeiro345911710[[#This Row],[AGOSTO]]</f>
        <v>0</v>
      </c>
      <c r="K326" s="80">
        <f>Fluxo_de_Caixa_Janeiro34591171012[[#This Row],[SETEMBRO]]</f>
        <v>0</v>
      </c>
      <c r="L326" s="80">
        <f>Fluxo_de_Caixa_Janeiro3459117101215[[#This Row],[OUTUBRO]]</f>
        <v>0</v>
      </c>
      <c r="M326" s="80">
        <f>Fluxo_de_Caixa_Janeiro345911710121516[[#This Row],[NOVEMBRO]]</f>
        <v>0</v>
      </c>
      <c r="N326" s="134">
        <f>Fluxo_de_Caixa_Janeiro34591171012151619[[#This Row],[DEZEMBRO]]</f>
        <v>0</v>
      </c>
      <c r="O326" s="235">
        <f>SUM(Fluxo_de_Caixa_Janeiro31020817[[#This Row],[Janeiro]:[Dezembro]])</f>
        <v>0</v>
      </c>
      <c r="P326" s="630" t="str">
        <f>IFERROR(O326/$C$332,"0,00%")</f>
        <v>0,00%</v>
      </c>
      <c r="Q326" s="76"/>
      <c r="R326" s="32" t="str">
        <f>IF(Fluxo_de_Caixa_Janeiro31020817[[#This Row],[% ACUMULADO  2º SEMEST 2025]]&lt;=Fluxo_de_Caixa_Janeiro31020817[[#This Row],[Coluna1]],"VERDADEIRO","FALSO")</f>
        <v>FALSO</v>
      </c>
    </row>
    <row r="327" spans="2:221" ht="15" customHeight="1" x14ac:dyDescent="0.25">
      <c r="B327" s="270">
        <f>Fluxo_de_Caixa_Janeiro[[#This Row],[Fluxo de Caixa 2026 CTR]]</f>
        <v>0</v>
      </c>
      <c r="C327" s="45"/>
      <c r="D327" s="80"/>
      <c r="E327" s="80"/>
      <c r="F327" s="80"/>
      <c r="G327" s="80"/>
      <c r="H327" s="80"/>
      <c r="I327" s="45">
        <f>Fluxo_de_Caixa_Janeiro3459117[[#This Row],[JULHO]]</f>
        <v>0</v>
      </c>
      <c r="J327" s="80">
        <f>Fluxo_de_Caixa_Janeiro345911710[[#This Row],[AGOSTO]]</f>
        <v>0</v>
      </c>
      <c r="K327" s="80">
        <f>Fluxo_de_Caixa_Janeiro34591171012[[#This Row],[SETEMBRO]]</f>
        <v>0</v>
      </c>
      <c r="L327" s="80">
        <f>Fluxo_de_Caixa_Janeiro3459117101215[[#This Row],[OUTUBRO]]</f>
        <v>0</v>
      </c>
      <c r="M327" s="80">
        <f>Fluxo_de_Caixa_Janeiro345911710121516[[#This Row],[NOVEMBRO]]</f>
        <v>0</v>
      </c>
      <c r="N327" s="134">
        <f>Fluxo_de_Caixa_Janeiro34591171012151619[[#This Row],[DEZEMBRO]]</f>
        <v>0</v>
      </c>
      <c r="O327" s="235">
        <f>SUM(Fluxo_de_Caixa_Janeiro31020817[[#This Row],[Janeiro]:[Dezembro]])</f>
        <v>0</v>
      </c>
      <c r="P327" s="630" t="str">
        <f>IFERROR(O327/$C$332,"0,00%")</f>
        <v>0,00%</v>
      </c>
      <c r="Q327" s="76"/>
      <c r="R327" s="32" t="str">
        <f>IF(Fluxo_de_Caixa_Janeiro31020817[[#This Row],[% ACUMULADO  2º SEMEST 2025]]&lt;=Fluxo_de_Caixa_Janeiro31020817[[#This Row],[Coluna1]],"VERDADEIRO","FALSO")</f>
        <v>FALSO</v>
      </c>
    </row>
    <row r="328" spans="2:221" ht="15" customHeight="1" x14ac:dyDescent="0.25">
      <c r="B328" s="270">
        <f>Fluxo_de_Caixa_Janeiro[[#This Row],[Fluxo de Caixa 2026 CTR]]</f>
        <v>0</v>
      </c>
      <c r="C328" s="45"/>
      <c r="D328" s="80"/>
      <c r="E328" s="80"/>
      <c r="F328" s="80"/>
      <c r="G328" s="80"/>
      <c r="H328" s="80"/>
      <c r="I328" s="45">
        <f>Fluxo_de_Caixa_Janeiro3459117[[#This Row],[JULHO]]</f>
        <v>0</v>
      </c>
      <c r="J328" s="80">
        <f>Fluxo_de_Caixa_Janeiro345911710[[#This Row],[AGOSTO]]</f>
        <v>0</v>
      </c>
      <c r="K328" s="80">
        <f>Fluxo_de_Caixa_Janeiro34591171012[[#This Row],[SETEMBRO]]</f>
        <v>0</v>
      </c>
      <c r="L328" s="80">
        <f>Fluxo_de_Caixa_Janeiro3459117101215[[#This Row],[OUTUBRO]]</f>
        <v>0</v>
      </c>
      <c r="M328" s="80">
        <f>Fluxo_de_Caixa_Janeiro345911710121516[[#This Row],[NOVEMBRO]]</f>
        <v>0</v>
      </c>
      <c r="N328" s="134">
        <f>Fluxo_de_Caixa_Janeiro34591171012151619[[#This Row],[DEZEMBRO]]</f>
        <v>0</v>
      </c>
      <c r="O328" s="235">
        <f>SUM(Fluxo_de_Caixa_Janeiro31020817[[#This Row],[Janeiro]:[Dezembro]])</f>
        <v>0</v>
      </c>
      <c r="P328" s="630" t="str">
        <f>IFERROR(O328/$C$332,"0,00%")</f>
        <v>0,00%</v>
      </c>
      <c r="Q328" s="76"/>
      <c r="R328" s="32" t="str">
        <f>IF(Fluxo_de_Caixa_Janeiro31020817[[#This Row],[% ACUMULADO  2º SEMEST 2025]]&lt;=Fluxo_de_Caixa_Janeiro31020817[[#This Row],[Coluna1]],"VERDADEIRO","FALSO")</f>
        <v>FALSO</v>
      </c>
    </row>
    <row r="329" spans="2:221" ht="15" customHeight="1" thickBot="1" x14ac:dyDescent="0.3">
      <c r="B329" s="280">
        <f>Fluxo_de_Caixa_Janeiro[[#This Row],[Fluxo de Caixa 2026 CTR]]</f>
        <v>0</v>
      </c>
      <c r="C329" s="163"/>
      <c r="D329" s="106"/>
      <c r="E329" s="106"/>
      <c r="F329" s="106"/>
      <c r="G329" s="106"/>
      <c r="H329" s="135"/>
      <c r="I329" s="106">
        <f>Fluxo_de_Caixa_Janeiro3459117[[#This Row],[JULHO]]</f>
        <v>0</v>
      </c>
      <c r="J329" s="106">
        <f>Fluxo_de_Caixa_Janeiro345911710[[#This Row],[AGOSTO]]</f>
        <v>0</v>
      </c>
      <c r="K329" s="106">
        <f>Fluxo_de_Caixa_Janeiro34591171012[[#This Row],[SETEMBRO]]</f>
        <v>0</v>
      </c>
      <c r="L329" s="106">
        <f>Fluxo_de_Caixa_Janeiro3459117101215[[#This Row],[OUTUBRO]]</f>
        <v>0</v>
      </c>
      <c r="M329" s="106">
        <f>Fluxo_de_Caixa_Janeiro345911710121516[[#This Row],[NOVEMBRO]]</f>
        <v>0</v>
      </c>
      <c r="N329" s="135">
        <f>Fluxo_de_Caixa_Janeiro34591171012151619[[#This Row],[DEZEMBRO]]</f>
        <v>0</v>
      </c>
      <c r="O329" s="236">
        <f>SUM(Fluxo_de_Caixa_Janeiro31020817[[#This Row],[Janeiro]:[Dezembro]])</f>
        <v>0</v>
      </c>
      <c r="P329" s="631" t="str">
        <f>IFERROR(O329/$C$332,"0,00%")</f>
        <v>0,00%</v>
      </c>
      <c r="Q329" s="107"/>
      <c r="R329" s="32" t="str">
        <f>IF(Fluxo_de_Caixa_Janeiro31020817[[#This Row],[% ACUMULADO  2º SEMEST 2025]]&lt;=Fluxo_de_Caixa_Janeiro31020817[[#This Row],[Coluna1]],"VERDADEIRO","FALSO")</f>
        <v>FALSO</v>
      </c>
    </row>
    <row r="330" spans="2:221" s="4" customFormat="1" ht="24" thickBot="1" x14ac:dyDescent="0.4">
      <c r="B330" s="281" t="str">
        <f>Fluxo_de_Caixa_Janeiro[[#This Row],[Fluxo de Caixa 2026 CTR]]</f>
        <v>Total das Despesas Não Operacional</v>
      </c>
      <c r="C330" s="177"/>
      <c r="D330" s="184"/>
      <c r="E330" s="184"/>
      <c r="F330" s="184"/>
      <c r="G330" s="184"/>
      <c r="H330" s="291"/>
      <c r="I330" s="299">
        <f>Fluxo_de_Caixa_Janeiro3459117[[#This Row],[JULHO]]</f>
        <v>0</v>
      </c>
      <c r="J330" s="184">
        <f>Fluxo_de_Caixa_Janeiro345911710[[#This Row],[AGOSTO]]</f>
        <v>0</v>
      </c>
      <c r="K330" s="184">
        <f>Fluxo_de_Caixa_Janeiro34591171012[[#This Row],[SETEMBRO]]</f>
        <v>0</v>
      </c>
      <c r="L330" s="184">
        <f>Fluxo_de_Caixa_Janeiro3459117101215[[#This Row],[OUTUBRO]]</f>
        <v>0</v>
      </c>
      <c r="M330" s="184">
        <f>Fluxo_de_Caixa_Janeiro345911710121516[[#This Row],[NOVEMBRO]]</f>
        <v>0</v>
      </c>
      <c r="N330" s="184">
        <f>Fluxo_de_Caixa_Janeiro34591171012151619[[#This Row],[DEZEMBRO]]</f>
        <v>0</v>
      </c>
      <c r="O330" s="227">
        <f>SUM(Fluxo_de_Caixa_Janeiro31020817[[#This Row],[Janeiro]:[Dezembro]])</f>
        <v>0</v>
      </c>
      <c r="P330" s="149" t="str">
        <f>IFERROR(O330/(O27+O238),"0,00%")</f>
        <v>0,00%</v>
      </c>
      <c r="Q330" s="109"/>
      <c r="R330" s="32" t="str">
        <f>IF(Fluxo_de_Caixa_Janeiro31020817[[#This Row],[% ACUMULADO  2º SEMEST 2025]]&gt;=Fluxo_de_Caixa_Janeiro31020817[[#This Row],[Coluna1]],"VERDADEIRO","FALSO")</f>
        <v>VERDADEIRO</v>
      </c>
      <c r="S330" s="1"/>
      <c r="T330" s="248"/>
      <c r="U330" s="1"/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35">
      <c r="B331" s="173" t="str">
        <f>Fluxo_de_Caixa_Janeiro[[#This Row],[Fluxo de Caixa 2026 CTR]]</f>
        <v>Saldo Inicial Conta Movimento</v>
      </c>
      <c r="C331" s="178"/>
      <c r="D331" s="185"/>
      <c r="E331" s="185"/>
      <c r="F331" s="185"/>
      <c r="G331" s="185"/>
      <c r="H331" s="292"/>
      <c r="I331" s="300">
        <f>Fluxo_de_Caixa_Janeiro3459117[[#This Row],[JULHO]]</f>
        <v>0</v>
      </c>
      <c r="J331" s="185">
        <f>Fluxo_de_Caixa_Janeiro345911710[[#This Row],[AGOSTO]]</f>
        <v>0</v>
      </c>
      <c r="K331" s="185">
        <f>Fluxo_de_Caixa_Janeiro34591171012[[#This Row],[SETEMBRO]]</f>
        <v>0</v>
      </c>
      <c r="L331" s="185">
        <f>Fluxo_de_Caixa_Janeiro3459117101215[[#This Row],[OUTUBRO]]</f>
        <v>0</v>
      </c>
      <c r="M331" s="185">
        <f>Fluxo_de_Caixa_Janeiro345911710121516[[#This Row],[NOVEMBRO]]</f>
        <v>0</v>
      </c>
      <c r="N331" s="185">
        <f>Fluxo_de_Caixa_Janeiro34591171012151619[[#This Row],[DEZEMBRO]]</f>
        <v>0</v>
      </c>
      <c r="O331" s="237">
        <f>Fluxo_de_Caixa_Janeiro31020817[[#This Row],[Julho]]</f>
        <v>0</v>
      </c>
      <c r="P331" s="150"/>
      <c r="Q331" s="108"/>
      <c r="R331" s="32"/>
      <c r="S331" s="1"/>
      <c r="T331" s="1"/>
      <c r="U331" s="1"/>
      <c r="V331" s="1"/>
      <c r="W331" s="1"/>
      <c r="X331" s="1"/>
      <c r="Y331" s="1"/>
    </row>
    <row r="332" spans="2:221" ht="19.149999999999999" customHeight="1" thickBot="1" x14ac:dyDescent="0.35">
      <c r="B332" s="282" t="str">
        <f>Fluxo_de_Caixa_Janeiro[[#This Row],[Fluxo de Caixa 2026 CTR]]</f>
        <v>Total Receitas Operac. e Não Operac.</v>
      </c>
      <c r="C332" s="179"/>
      <c r="D332" s="186"/>
      <c r="E332" s="186"/>
      <c r="F332" s="186"/>
      <c r="G332" s="186"/>
      <c r="H332" s="293"/>
      <c r="I332" s="301">
        <f>Fluxo_de_Caixa_Janeiro3459117[[#This Row],[JULHO]]</f>
        <v>0</v>
      </c>
      <c r="J332" s="186">
        <f>Fluxo_de_Caixa_Janeiro345911710[[#This Row],[AGOSTO]]</f>
        <v>0</v>
      </c>
      <c r="K332" s="186">
        <f>Fluxo_de_Caixa_Janeiro34591171012[[#This Row],[SETEMBRO]]</f>
        <v>0</v>
      </c>
      <c r="L332" s="186">
        <f>Fluxo_de_Caixa_Janeiro3459117101215[[#This Row],[OUTUBRO]]</f>
        <v>0</v>
      </c>
      <c r="M332" s="186">
        <f>Fluxo_de_Caixa_Janeiro345911710121516[[#This Row],[NOVEMBRO]]</f>
        <v>0</v>
      </c>
      <c r="N332" s="186">
        <f>Fluxo_de_Caixa_Janeiro34591171012151619[[#This Row],[DEZEMBRO]]</f>
        <v>0</v>
      </c>
      <c r="O332" s="238">
        <f>SUM(Fluxo_de_Caixa_Janeiro31020817[[#This Row],[Janeiro]:[Dezembro]])</f>
        <v>0</v>
      </c>
      <c r="P332" s="151">
        <f>SUM(P27,P238)</f>
        <v>0</v>
      </c>
      <c r="Q332" s="111"/>
      <c r="R332" s="32"/>
      <c r="S332" s="1"/>
      <c r="T332" s="1"/>
      <c r="U332" s="1"/>
      <c r="V332" s="1"/>
      <c r="W332" s="1"/>
      <c r="X332" s="1"/>
      <c r="Y332" s="1"/>
    </row>
    <row r="333" spans="2:221" s="5" customFormat="1" ht="27" customHeight="1" thickBot="1" x14ac:dyDescent="0.35">
      <c r="B333" s="283" t="str">
        <f>Fluxo_de_Caixa_Janeiro[[#This Row],[Fluxo de Caixa 2026 CTR]]</f>
        <v>Total Despesas Operac. e Não Operac.</v>
      </c>
      <c r="C333" s="180"/>
      <c r="D333" s="187"/>
      <c r="E333" s="187"/>
      <c r="F333" s="187"/>
      <c r="G333" s="187"/>
      <c r="H333" s="294"/>
      <c r="I333" s="302">
        <f>Fluxo_de_Caixa_Janeiro3459117[[#This Row],[JULHO]]</f>
        <v>0</v>
      </c>
      <c r="J333" s="187">
        <f>Fluxo_de_Caixa_Janeiro345911710[[#This Row],[AGOSTO]]</f>
        <v>0</v>
      </c>
      <c r="K333" s="187">
        <f>Fluxo_de_Caixa_Janeiro34591171012[[#This Row],[SETEMBRO]]</f>
        <v>0</v>
      </c>
      <c r="L333" s="187">
        <f>Fluxo_de_Caixa_Janeiro3459117101215[[#This Row],[OUTUBRO]]</f>
        <v>0</v>
      </c>
      <c r="M333" s="187">
        <f>Fluxo_de_Caixa_Janeiro345911710121516[[#This Row],[NOVEMBRO]]</f>
        <v>0</v>
      </c>
      <c r="N333" s="187">
        <f>Fluxo_de_Caixa_Janeiro34591171012151619[[#This Row],[DEZEMBRO]]</f>
        <v>0</v>
      </c>
      <c r="O333" s="239">
        <f>SUM(Fluxo_de_Caixa_Janeiro31020817[[#This Row],[Janeiro]:[Dezembro]])</f>
        <v>0</v>
      </c>
      <c r="P333" s="152" t="str">
        <f>IFERROR(O333/O332,"0,00%")</f>
        <v>0,00%</v>
      </c>
      <c r="Q333" s="110"/>
      <c r="R333" s="32" t="str">
        <f>IF(Fluxo_de_Caixa_Janeiro31020817[[#This Row],[% ACUMULADO  2º SEMEST 2025]]&gt;=Fluxo_de_Caixa_Janeiro31020817[[#This Row],[Coluna1]],"VERDADEIRO","FALSO")</f>
        <v>VERDADEIRO</v>
      </c>
      <c r="S333" s="8"/>
      <c r="T333" s="8"/>
      <c r="U333" s="8"/>
      <c r="V333" s="8"/>
      <c r="W333" s="8"/>
      <c r="X333" s="8"/>
      <c r="Y333" s="8"/>
    </row>
    <row r="334" spans="2:221" ht="21.75" thickBot="1" x14ac:dyDescent="0.3">
      <c r="B334" s="271" t="str">
        <f>Fluxo_de_Caixa_Janeiro[[#This Row],[Fluxo de Caixa 2026 CTR]]</f>
        <v xml:space="preserve">Saldo Liquido Final  </v>
      </c>
      <c r="C334" s="181"/>
      <c r="D334" s="188"/>
      <c r="E334" s="188"/>
      <c r="F334" s="188"/>
      <c r="G334" s="188"/>
      <c r="H334" s="295"/>
      <c r="I334" s="303">
        <f>Fluxo_de_Caixa_Janeiro3459117[[#This Row],[JULHO]]</f>
        <v>0</v>
      </c>
      <c r="J334" s="188">
        <f>Fluxo_de_Caixa_Janeiro345911710[[#This Row],[AGOSTO]]</f>
        <v>0</v>
      </c>
      <c r="K334" s="188">
        <f>Fluxo_de_Caixa_Janeiro34591171012[[#This Row],[SETEMBRO]]</f>
        <v>0</v>
      </c>
      <c r="L334" s="188">
        <f>Fluxo_de_Caixa_Janeiro3459117101215[[#This Row],[OUTUBRO]]</f>
        <v>0</v>
      </c>
      <c r="M334" s="188">
        <f>Fluxo_de_Caixa_Janeiro345911710121516[[#This Row],[NOVEMBRO]]</f>
        <v>0</v>
      </c>
      <c r="N334" s="188">
        <f>Fluxo_de_Caixa_Janeiro34591171012151619[[#This Row],[DEZEMBRO]]</f>
        <v>0</v>
      </c>
      <c r="O334" s="240">
        <f>SUM(Fluxo_de_Caixa_Janeiro31020817[[#This Row],[Janeiro]:[Dezembro]])</f>
        <v>0</v>
      </c>
      <c r="P334" s="27" t="str">
        <f>IFERROR(O334/O332,"0,00%")</f>
        <v>0,00%</v>
      </c>
      <c r="Q334" s="77"/>
      <c r="R334" s="32" t="str">
        <f>IF(Fluxo_de_Caixa_Janeiro31020817[[#This Row],[% ACUMULADO  2º SEMEST 2025]]&gt;=Fluxo_de_Caixa_Janeiro31020817[[#This Row],[Coluna1]],"VERDADEIRO","FALSO")</f>
        <v>VERDADEIRO</v>
      </c>
      <c r="S334" s="1"/>
      <c r="T334" s="1"/>
      <c r="U334" s="1"/>
      <c r="V334" s="1"/>
      <c r="W334" s="1"/>
      <c r="X334" s="1"/>
      <c r="Y334" s="1"/>
    </row>
    <row r="335" spans="2:221" ht="27" thickBot="1" x14ac:dyDescent="0.45">
      <c r="B335" s="174" t="str">
        <f>Fluxo_de_Caixa_Janeiro[[#This Row],[Fluxo de Caixa 2026 CTR]]</f>
        <v xml:space="preserve">Saldo Liquido Ajustado  </v>
      </c>
      <c r="C335" s="182"/>
      <c r="D335" s="189"/>
      <c r="E335" s="189"/>
      <c r="F335" s="189"/>
      <c r="G335" s="189"/>
      <c r="H335" s="296"/>
      <c r="I335" s="304">
        <f>Fluxo_de_Caixa_Janeiro3459117[[#This Row],[JULHO]]</f>
        <v>0</v>
      </c>
      <c r="J335" s="189">
        <f>Fluxo_de_Caixa_Janeiro345911710[[#This Row],[AGOSTO]]</f>
        <v>0</v>
      </c>
      <c r="K335" s="189">
        <f>Fluxo_de_Caixa_Janeiro34591171012[[#This Row],[SETEMBRO]]</f>
        <v>0</v>
      </c>
      <c r="L335" s="189">
        <f>Fluxo_de_Caixa_Janeiro3459117101215[[#This Row],[OUTUBRO]]</f>
        <v>0</v>
      </c>
      <c r="M335" s="189">
        <f>Fluxo_de_Caixa_Janeiro345911710121516[[#This Row],[NOVEMBRO]]</f>
        <v>0</v>
      </c>
      <c r="N335" s="189">
        <f>Fluxo_de_Caixa_Janeiro34591171012151619[[#This Row],[DEZEMBRO]]</f>
        <v>0</v>
      </c>
      <c r="O335" s="241">
        <f>SUM(O332,O331,O333)</f>
        <v>0</v>
      </c>
      <c r="P335" s="153" t="str">
        <f>IFERROR(O335/(O332+O331),"0,00%")</f>
        <v>0,00%</v>
      </c>
      <c r="Q335" s="112"/>
      <c r="R335" s="32" t="str">
        <f>IF(Fluxo_de_Caixa_Janeiro31020817[[#This Row],[% ACUMULADO  2º SEMEST 2025]]&gt;=Fluxo_de_Caixa_Janeiro31020817[[#This Row],[Coluna1]],"VERDADEIRO","FALSO")</f>
        <v>VERDADEIRO</v>
      </c>
    </row>
    <row r="336" spans="2:221" ht="24" thickBot="1" x14ac:dyDescent="0.4">
      <c r="B336" s="175" t="str">
        <f>Fluxo_de_Caixa_Janeiro[[#This Row],[Fluxo de Caixa 2026 CTR]]</f>
        <v>Disponíveis nas Contas Movimento</v>
      </c>
      <c r="C336" s="183"/>
      <c r="D336" s="190"/>
      <c r="E336" s="190"/>
      <c r="F336" s="190"/>
      <c r="G336" s="190"/>
      <c r="H336" s="297"/>
      <c r="I336" s="305">
        <f>Fluxo_de_Caixa_Janeiro3459117[[#This Row],[JULHO]]</f>
        <v>0</v>
      </c>
      <c r="J336" s="190">
        <f>Fluxo_de_Caixa_Janeiro345911710[[#This Row],[AGOSTO]]</f>
        <v>0</v>
      </c>
      <c r="K336" s="190">
        <f>Fluxo_de_Caixa_Janeiro34591171012[[#This Row],[SETEMBRO]]</f>
        <v>0</v>
      </c>
      <c r="L336" s="190">
        <f>Fluxo_de_Caixa_Janeiro3459117101215[[#This Row],[OUTUBRO]]</f>
        <v>0</v>
      </c>
      <c r="M336" s="190">
        <f>Fluxo_de_Caixa_Janeiro345911710121516[[#This Row],[NOVEMBRO]]</f>
        <v>0</v>
      </c>
      <c r="N336" s="190">
        <f>Fluxo_de_Caixa_Janeiro34591171012151619[[#This Row],[DEZEMBRO]]</f>
        <v>0</v>
      </c>
      <c r="O336" s="242">
        <f>SUM(O337:O344)</f>
        <v>0</v>
      </c>
      <c r="P336" s="254">
        <f>SUM(P337:P351)</f>
        <v>0</v>
      </c>
      <c r="Q336" s="114"/>
      <c r="R336" s="34"/>
      <c r="T336" s="404">
        <f>Fluxo_de_Caixa_Janeiro31020817[[#This Row],[Março]]-C331</f>
        <v>0</v>
      </c>
    </row>
    <row r="337" spans="2:18" x14ac:dyDescent="0.25">
      <c r="B337" s="47" t="str">
        <f>Fluxo_de_Caixa_Janeiro[[#This Row],[Fluxo de Caixa 2026 CTR]]</f>
        <v>1.0 - TESOURARIA MATRIZ PALMAS</v>
      </c>
      <c r="C337" s="41"/>
      <c r="D337" s="81"/>
      <c r="E337" s="81"/>
      <c r="F337" s="81"/>
      <c r="G337" s="81"/>
      <c r="H337" s="118"/>
      <c r="I337" s="81">
        <f>Fluxo_de_Caixa_Janeiro3459117[[#This Row],[JULHO]]</f>
        <v>0</v>
      </c>
      <c r="J337" s="81">
        <f>Fluxo_de_Caixa_Janeiro345911710[[#This Row],[AGOSTO]]</f>
        <v>0</v>
      </c>
      <c r="K337" s="81">
        <f>Fluxo_de_Caixa_Janeiro34591171012[[#This Row],[SETEMBRO]]</f>
        <v>0</v>
      </c>
      <c r="L337" s="81">
        <f>Fluxo_de_Caixa_Janeiro3459117101215[[#This Row],[OUTUBRO]]</f>
        <v>0</v>
      </c>
      <c r="M337" s="81">
        <f>Fluxo_de_Caixa_Janeiro345911710121516[[#This Row],[NOVEMBRO]]</f>
        <v>0</v>
      </c>
      <c r="N337" s="118">
        <f>Fluxo_de_Caixa_Janeiro34591171012151619[[#This Row],[DEZEMBRO]]</f>
        <v>0</v>
      </c>
      <c r="O337" s="243">
        <f>Fluxo_de_Caixa_Janeiro31020817[[#This Row],[Novembro]]</f>
        <v>0</v>
      </c>
      <c r="P337" s="28" t="str">
        <f t="shared" ref="P337:P352" si="14">IFERROR(O337/$O$336,"0,00%")</f>
        <v>0,00%</v>
      </c>
      <c r="Q337" s="113"/>
      <c r="R337" s="34"/>
    </row>
    <row r="338" spans="2:18" x14ac:dyDescent="0.25">
      <c r="B338" s="47" t="str">
        <f>Fluxo_de_Caixa_Janeiro[[#This Row],[Fluxo de Caixa 2026 CTR]]</f>
        <v>1.1 - BANCO DO BRASIL C.C.60409-7 MATRIZ</v>
      </c>
      <c r="C338" s="35"/>
      <c r="D338" s="62"/>
      <c r="E338" s="62"/>
      <c r="F338" s="62"/>
      <c r="G338" s="62"/>
      <c r="H338" s="119"/>
      <c r="I338" s="62">
        <f>Fluxo_de_Caixa_Janeiro3459117[[#This Row],[JULHO]]</f>
        <v>0</v>
      </c>
      <c r="J338" s="62">
        <f>Fluxo_de_Caixa_Janeiro345911710[[#This Row],[AGOSTO]]</f>
        <v>0</v>
      </c>
      <c r="K338" s="62">
        <f>Fluxo_de_Caixa_Janeiro34591171012[[#This Row],[SETEMBRO]]</f>
        <v>0</v>
      </c>
      <c r="L338" s="62">
        <f>Fluxo_de_Caixa_Janeiro3459117101215[[#This Row],[OUTUBRO]]</f>
        <v>0</v>
      </c>
      <c r="M338" s="62">
        <f>Fluxo_de_Caixa_Janeiro345911710121516[[#This Row],[NOVEMBRO]]</f>
        <v>0</v>
      </c>
      <c r="N338" s="119">
        <f>Fluxo_de_Caixa_Janeiro34591171012151619[[#This Row],[DEZEMBRO]]</f>
        <v>0</v>
      </c>
      <c r="O338" s="243">
        <f>Fluxo_de_Caixa_Janeiro31020817[[#This Row],[Novembro]]</f>
        <v>0</v>
      </c>
      <c r="P338" s="138" t="str">
        <f t="shared" si="14"/>
        <v>0,00%</v>
      </c>
      <c r="Q338" s="78"/>
      <c r="R338" s="34"/>
    </row>
    <row r="339" spans="2:18" x14ac:dyDescent="0.25">
      <c r="B339" s="47">
        <f>Fluxo_de_Caixa_Janeiro[[#This Row],[Fluxo de Caixa 2026 CTR]]</f>
        <v>0</v>
      </c>
      <c r="C339" s="35"/>
      <c r="D339" s="62"/>
      <c r="E339" s="62"/>
      <c r="F339" s="62"/>
      <c r="G339" s="62"/>
      <c r="H339" s="119"/>
      <c r="I339" s="62">
        <f>Fluxo_de_Caixa_Janeiro3459117[[#This Row],[JULHO]]</f>
        <v>0</v>
      </c>
      <c r="J339" s="62">
        <f>Fluxo_de_Caixa_Janeiro345911710[[#This Row],[AGOSTO]]</f>
        <v>0</v>
      </c>
      <c r="K339" s="62">
        <f>Fluxo_de_Caixa_Janeiro34591171012[[#This Row],[SETEMBRO]]</f>
        <v>0</v>
      </c>
      <c r="L339" s="62">
        <f>Fluxo_de_Caixa_Janeiro3459117101215[[#This Row],[OUTUBRO]]</f>
        <v>0</v>
      </c>
      <c r="M339" s="62">
        <f>Fluxo_de_Caixa_Janeiro345911710121516[[#This Row],[NOVEMBRO]]</f>
        <v>0</v>
      </c>
      <c r="N339" s="119">
        <f>Fluxo_de_Caixa_Janeiro34591171012151619[[#This Row],[DEZEMBRO]]</f>
        <v>0</v>
      </c>
      <c r="O339" s="243">
        <f>Fluxo_de_Caixa_Janeiro31020817[[#This Row],[Novembro]]</f>
        <v>0</v>
      </c>
      <c r="P339" s="138" t="str">
        <f t="shared" si="14"/>
        <v>0,00%</v>
      </c>
      <c r="Q339" s="78"/>
      <c r="R339" s="34"/>
    </row>
    <row r="340" spans="2:18" x14ac:dyDescent="0.25">
      <c r="B340" s="47" t="str">
        <f>Fluxo_de_Caixa_Janeiro[[#This Row],[Fluxo de Caixa 2026 CTR]]</f>
        <v>1.2-BRADESCO 15232-3 MATRIZ</v>
      </c>
      <c r="C340" s="35"/>
      <c r="D340" s="62"/>
      <c r="E340" s="62"/>
      <c r="F340" s="62"/>
      <c r="G340" s="62"/>
      <c r="H340" s="119"/>
      <c r="I340" s="62">
        <f>Fluxo_de_Caixa_Janeiro3459117[[#This Row],[JULHO]]</f>
        <v>0</v>
      </c>
      <c r="J340" s="62">
        <f>Fluxo_de_Caixa_Janeiro345911710[[#This Row],[AGOSTO]]</f>
        <v>0</v>
      </c>
      <c r="K340" s="62">
        <f>Fluxo_de_Caixa_Janeiro34591171012[[#This Row],[SETEMBRO]]</f>
        <v>0</v>
      </c>
      <c r="L340" s="62">
        <f>Fluxo_de_Caixa_Janeiro3459117101215[[#This Row],[OUTUBRO]]</f>
        <v>0</v>
      </c>
      <c r="M340" s="62">
        <f>Fluxo_de_Caixa_Janeiro345911710121516[[#This Row],[NOVEMBRO]]</f>
        <v>0</v>
      </c>
      <c r="N340" s="119">
        <f>Fluxo_de_Caixa_Janeiro34591171012151619[[#This Row],[DEZEMBRO]]</f>
        <v>0</v>
      </c>
      <c r="O340" s="243">
        <f>Fluxo_de_Caixa_Janeiro31020817[[#This Row],[Novembro]]</f>
        <v>0</v>
      </c>
      <c r="P340" s="138" t="str">
        <f t="shared" si="14"/>
        <v>0,00%</v>
      </c>
      <c r="Q340" s="78"/>
      <c r="R340" s="34"/>
    </row>
    <row r="341" spans="2:18" x14ac:dyDescent="0.25">
      <c r="B341" s="47">
        <f>Fluxo_de_Caixa_Janeiro[[#This Row],[Fluxo de Caixa 2026 CTR]]</f>
        <v>0</v>
      </c>
      <c r="C341" s="35"/>
      <c r="D341" s="62"/>
      <c r="E341" s="62"/>
      <c r="F341" s="62"/>
      <c r="G341" s="62"/>
      <c r="H341" s="119"/>
      <c r="I341" s="62">
        <f>Fluxo_de_Caixa_Janeiro3459117[[#This Row],[JULHO]]</f>
        <v>0</v>
      </c>
      <c r="J341" s="62">
        <f>Fluxo_de_Caixa_Janeiro345911710[[#This Row],[AGOSTO]]</f>
        <v>0</v>
      </c>
      <c r="K341" s="62">
        <f>Fluxo_de_Caixa_Janeiro34591171012[[#This Row],[SETEMBRO]]</f>
        <v>0</v>
      </c>
      <c r="L341" s="62">
        <f>Fluxo_de_Caixa_Janeiro3459117101215[[#This Row],[OUTUBRO]]</f>
        <v>0</v>
      </c>
      <c r="M341" s="62">
        <f>Fluxo_de_Caixa_Janeiro345911710121516[[#This Row],[NOVEMBRO]]</f>
        <v>0</v>
      </c>
      <c r="N341" s="119">
        <f>Fluxo_de_Caixa_Janeiro34591171012151619[[#This Row],[DEZEMBRO]]</f>
        <v>0</v>
      </c>
      <c r="O341" s="243">
        <f>Fluxo_de_Caixa_Janeiro31020817[[#This Row],[Novembro]]</f>
        <v>0</v>
      </c>
      <c r="P341" s="138" t="str">
        <f t="shared" si="14"/>
        <v>0,00%</v>
      </c>
      <c r="Q341" s="78"/>
      <c r="R341" s="34"/>
    </row>
    <row r="342" spans="2:18" x14ac:dyDescent="0.25">
      <c r="B342" s="47" t="str">
        <f>Fluxo_de_Caixa_Janeiro[[#This Row],[Fluxo de Caixa 2026 CTR]]</f>
        <v>1.3 - BANCO STONE MATRIZ C.C 40256726-7</v>
      </c>
      <c r="C342" s="35"/>
      <c r="D342" s="62"/>
      <c r="E342" s="62"/>
      <c r="F342" s="62"/>
      <c r="G342" s="62"/>
      <c r="H342" s="119"/>
      <c r="I342" s="62">
        <f>Fluxo_de_Caixa_Janeiro3459117[[#This Row],[JULHO]]</f>
        <v>0</v>
      </c>
      <c r="J342" s="62">
        <f>Fluxo_de_Caixa_Janeiro345911710[[#This Row],[AGOSTO]]</f>
        <v>0</v>
      </c>
      <c r="K342" s="62">
        <f>Fluxo_de_Caixa_Janeiro34591171012[[#This Row],[SETEMBRO]]</f>
        <v>0</v>
      </c>
      <c r="L342" s="62">
        <f>Fluxo_de_Caixa_Janeiro3459117101215[[#This Row],[OUTUBRO]]</f>
        <v>0</v>
      </c>
      <c r="M342" s="62">
        <f>Fluxo_de_Caixa_Janeiro345911710121516[[#This Row],[NOVEMBRO]]</f>
        <v>0</v>
      </c>
      <c r="N342" s="119">
        <f>Fluxo_de_Caixa_Janeiro34591171012151619[[#This Row],[DEZEMBRO]]</f>
        <v>0</v>
      </c>
      <c r="O342" s="243">
        <f>Fluxo_de_Caixa_Janeiro31020817[[#This Row],[Novembro]]</f>
        <v>0</v>
      </c>
      <c r="P342" s="138" t="str">
        <f t="shared" si="14"/>
        <v>0,00%</v>
      </c>
      <c r="Q342" s="78"/>
      <c r="R342" s="34"/>
    </row>
    <row r="343" spans="2:18" x14ac:dyDescent="0.25">
      <c r="B343" s="47" t="str">
        <f>Fluxo_de_Caixa_Janeiro[[#This Row],[Fluxo de Caixa 2026 CTR]]</f>
        <v>1.4 - BANCO DA AMAZONIA 071730-7 MATRIZ</v>
      </c>
      <c r="C343" s="35"/>
      <c r="D343" s="62"/>
      <c r="E343" s="62"/>
      <c r="F343" s="62"/>
      <c r="G343" s="62"/>
      <c r="H343" s="62"/>
      <c r="I343" s="35">
        <f>Fluxo_de_Caixa_Janeiro3459117[[#This Row],[JULHO]]</f>
        <v>0</v>
      </c>
      <c r="J343" s="62">
        <f>Fluxo_de_Caixa_Janeiro345911710[[#This Row],[AGOSTO]]</f>
        <v>0</v>
      </c>
      <c r="K343" s="62">
        <f>Fluxo_de_Caixa_Janeiro34591171012[[#This Row],[SETEMBRO]]</f>
        <v>0</v>
      </c>
      <c r="L343" s="62">
        <f>Fluxo_de_Caixa_Janeiro3459117101215[[#This Row],[OUTUBRO]]</f>
        <v>0</v>
      </c>
      <c r="M343" s="62">
        <f>Fluxo_de_Caixa_Janeiro345911710121516[[#This Row],[NOVEMBRO]]</f>
        <v>0</v>
      </c>
      <c r="N343" s="119">
        <f>Fluxo_de_Caixa_Janeiro34591171012151619[[#This Row],[DEZEMBRO]]</f>
        <v>0</v>
      </c>
      <c r="O343" s="243">
        <f>Fluxo_de_Caixa_Janeiro31020817[[#This Row],[Novembro]]</f>
        <v>0</v>
      </c>
      <c r="P343" s="138" t="str">
        <f t="shared" si="14"/>
        <v>0,00%</v>
      </c>
      <c r="Q343" s="78"/>
      <c r="R343" s="34"/>
    </row>
    <row r="344" spans="2:18" x14ac:dyDescent="0.25">
      <c r="B344" s="47" t="str">
        <f>Fluxo_de_Caixa_Janeiro[[#This Row],[Fluxo de Caixa 2026 CTR]]</f>
        <v>1.4.1.INVESTIMENTO CDBORE RCP TXFL</v>
      </c>
      <c r="C344" s="35"/>
      <c r="D344" s="62"/>
      <c r="E344" s="62"/>
      <c r="F344" s="62"/>
      <c r="G344" s="62"/>
      <c r="H344" s="62"/>
      <c r="I344" s="35">
        <f>Fluxo_de_Caixa_Janeiro3459117[[#This Row],[JULHO]]</f>
        <v>0</v>
      </c>
      <c r="J344" s="62">
        <f>Fluxo_de_Caixa_Janeiro345911710[[#This Row],[AGOSTO]]</f>
        <v>0</v>
      </c>
      <c r="K344" s="62">
        <f>Fluxo_de_Caixa_Janeiro34591171012[[#This Row],[SETEMBRO]]</f>
        <v>0</v>
      </c>
      <c r="L344" s="62">
        <f>Fluxo_de_Caixa_Janeiro3459117101215[[#This Row],[OUTUBRO]]</f>
        <v>0</v>
      </c>
      <c r="M344" s="62">
        <f>Fluxo_de_Caixa_Janeiro345911710121516[[#This Row],[NOVEMBRO]]</f>
        <v>0</v>
      </c>
      <c r="N344" s="119">
        <f>Fluxo_de_Caixa_Janeiro34591171012151619[[#This Row],[DEZEMBRO]]</f>
        <v>0</v>
      </c>
      <c r="O344" s="243">
        <f>Fluxo_de_Caixa_Janeiro31020817[[#This Row],[Novembro]]</f>
        <v>0</v>
      </c>
      <c r="P344" s="138" t="str">
        <f t="shared" si="14"/>
        <v>0,00%</v>
      </c>
      <c r="Q344" s="78"/>
      <c r="R344" s="34"/>
    </row>
    <row r="345" spans="2:18" x14ac:dyDescent="0.25">
      <c r="B345" s="47" t="str">
        <f>Fluxo_de_Caixa_Janeiro[[#This Row],[Fluxo de Caixa 2026 CTR]]</f>
        <v>1.5 -  ITAU C.C.98671-6 MATRIZ</v>
      </c>
      <c r="C345" s="35"/>
      <c r="D345" s="62"/>
      <c r="E345" s="62"/>
      <c r="F345" s="62"/>
      <c r="G345" s="62"/>
      <c r="H345" s="62"/>
      <c r="I345" s="35">
        <f>Fluxo_de_Caixa_Janeiro3459117[[#This Row],[JULHO]]</f>
        <v>0</v>
      </c>
      <c r="J345" s="62">
        <f>Fluxo_de_Caixa_Janeiro345911710[[#This Row],[AGOSTO]]</f>
        <v>0</v>
      </c>
      <c r="K345" s="62">
        <f>Fluxo_de_Caixa_Janeiro34591171012[[#This Row],[SETEMBRO]]</f>
        <v>0</v>
      </c>
      <c r="L345" s="62">
        <f>Fluxo_de_Caixa_Janeiro3459117101215[[#This Row],[OUTUBRO]]</f>
        <v>0</v>
      </c>
      <c r="M345" s="62">
        <f>Fluxo_de_Caixa_Janeiro345911710121516[[#This Row],[NOVEMBRO]]</f>
        <v>0</v>
      </c>
      <c r="N345" s="119">
        <f>Fluxo_de_Caixa_Janeiro34591171012151619[[#This Row],[DEZEMBRO]]</f>
        <v>0</v>
      </c>
      <c r="O345" s="243">
        <f>Fluxo_de_Caixa_Janeiro31020817[[#This Row],[Novembro]]</f>
        <v>0</v>
      </c>
      <c r="P345" s="138" t="str">
        <f t="shared" si="14"/>
        <v>0,00%</v>
      </c>
      <c r="Q345" s="78"/>
      <c r="R345" s="34"/>
    </row>
    <row r="346" spans="2:18" x14ac:dyDescent="0.25">
      <c r="B346" s="47" t="str">
        <f>Fluxo_de_Caixa_Janeiro[[#This Row],[Fluxo de Caixa 2026 CTR]]</f>
        <v>1.5.03. ITAU C.C 83290-2 GARANTIDA</v>
      </c>
      <c r="C346" s="35"/>
      <c r="D346" s="62"/>
      <c r="E346" s="62"/>
      <c r="F346" s="62"/>
      <c r="G346" s="62"/>
      <c r="H346" s="62"/>
      <c r="I346" s="35">
        <f>Fluxo_de_Caixa_Janeiro3459117[[#This Row],[JULHO]]</f>
        <v>0</v>
      </c>
      <c r="J346" s="62">
        <f>Fluxo_de_Caixa_Janeiro345911710[[#This Row],[AGOSTO]]</f>
        <v>0</v>
      </c>
      <c r="K346" s="62">
        <f>Fluxo_de_Caixa_Janeiro34591171012[[#This Row],[SETEMBRO]]</f>
        <v>0</v>
      </c>
      <c r="L346" s="62">
        <f>Fluxo_de_Caixa_Janeiro3459117101215[[#This Row],[OUTUBRO]]</f>
        <v>0</v>
      </c>
      <c r="M346" s="62">
        <f>Fluxo_de_Caixa_Janeiro345911710121516[[#This Row],[NOVEMBRO]]</f>
        <v>0</v>
      </c>
      <c r="N346" s="119">
        <f>Fluxo_de_Caixa_Janeiro34591171012151619[[#This Row],[DEZEMBRO]]</f>
        <v>0</v>
      </c>
      <c r="O346" s="243">
        <f>Fluxo_de_Caixa_Janeiro31020817[[#This Row],[Novembro]]</f>
        <v>0</v>
      </c>
      <c r="P346" s="138" t="str">
        <f t="shared" si="14"/>
        <v>0,00%</v>
      </c>
      <c r="Q346" s="78"/>
      <c r="R346" s="34"/>
    </row>
    <row r="347" spans="2:18" x14ac:dyDescent="0.25">
      <c r="B347" s="47" t="str">
        <f>Fluxo_de_Caixa_Janeiro[[#This Row],[Fluxo de Caixa 2026 CTR]]</f>
        <v>1.9 - CONTA PERDA/ROUBO/BONIFICAÇÃO E DOAÇÃO</v>
      </c>
      <c r="C347" s="35"/>
      <c r="D347" s="62"/>
      <c r="E347" s="62"/>
      <c r="F347" s="62"/>
      <c r="G347" s="62"/>
      <c r="H347" s="62"/>
      <c r="I347" s="35">
        <f>Fluxo_de_Caixa_Janeiro3459117[[#This Row],[JULHO]]</f>
        <v>0</v>
      </c>
      <c r="J347" s="62">
        <f>Fluxo_de_Caixa_Janeiro345911710[[#This Row],[AGOSTO]]</f>
        <v>0</v>
      </c>
      <c r="K347" s="62">
        <f>Fluxo_de_Caixa_Janeiro34591171012[[#This Row],[SETEMBRO]]</f>
        <v>0</v>
      </c>
      <c r="L347" s="62">
        <f>Fluxo_de_Caixa_Janeiro3459117101215[[#This Row],[OUTUBRO]]</f>
        <v>0</v>
      </c>
      <c r="M347" s="62">
        <f>Fluxo_de_Caixa_Janeiro345911710121516[[#This Row],[NOVEMBRO]]</f>
        <v>0</v>
      </c>
      <c r="N347" s="119">
        <f>Fluxo_de_Caixa_Janeiro34591171012151619[[#This Row],[DEZEMBRO]]</f>
        <v>0</v>
      </c>
      <c r="O347" s="243">
        <f>Fluxo_de_Caixa_Janeiro31020817[[#This Row],[Novembro]]</f>
        <v>0</v>
      </c>
      <c r="P347" s="138" t="str">
        <f t="shared" si="14"/>
        <v>0,00%</v>
      </c>
      <c r="Q347" s="78"/>
    </row>
    <row r="348" spans="2:18" x14ac:dyDescent="0.25">
      <c r="B348" s="47">
        <f>Fluxo_de_Caixa_Janeiro[[#This Row],[Fluxo de Caixa 2026 CTR]]</f>
        <v>0</v>
      </c>
      <c r="C348" s="35"/>
      <c r="D348" s="62"/>
      <c r="E348" s="62"/>
      <c r="F348" s="62"/>
      <c r="G348" s="62"/>
      <c r="H348" s="62"/>
      <c r="I348" s="35">
        <f>Fluxo_de_Caixa_Janeiro3459117[[#This Row],[JULHO]]</f>
        <v>0</v>
      </c>
      <c r="J348" s="62">
        <f>Fluxo_de_Caixa_Janeiro345911710[[#This Row],[AGOSTO]]</f>
        <v>0</v>
      </c>
      <c r="K348" s="62">
        <f>Fluxo_de_Caixa_Janeiro34591171012[[#This Row],[SETEMBRO]]</f>
        <v>0</v>
      </c>
      <c r="L348" s="62">
        <f>Fluxo_de_Caixa_Janeiro3459117101215[[#This Row],[OUTUBRO]]</f>
        <v>0</v>
      </c>
      <c r="M348" s="62">
        <f>Fluxo_de_Caixa_Janeiro345911710121516[[#This Row],[NOVEMBRO]]</f>
        <v>0</v>
      </c>
      <c r="N348" s="119">
        <f>Fluxo_de_Caixa_Janeiro34591171012151619[[#This Row],[DEZEMBRO]]</f>
        <v>0</v>
      </c>
      <c r="O348" s="243">
        <f>Fluxo_de_Caixa_Janeiro31020817[[#This Row],[Novembro]]</f>
        <v>0</v>
      </c>
      <c r="P348" s="138" t="str">
        <f t="shared" si="14"/>
        <v>0,00%</v>
      </c>
      <c r="Q348" s="78"/>
    </row>
    <row r="349" spans="2:18" x14ac:dyDescent="0.25">
      <c r="B349" s="47" t="str">
        <f>Fluxo_de_Caixa_Janeiro[[#This Row],[Fluxo de Caixa 2026 CTR]]</f>
        <v>2.1 - BANCO DO BRASIL C.C.60638-3 FILIAL PALMAS</v>
      </c>
      <c r="C349" s="35"/>
      <c r="D349" s="62"/>
      <c r="E349" s="62"/>
      <c r="F349" s="62"/>
      <c r="G349" s="62"/>
      <c r="H349" s="62"/>
      <c r="I349" s="35">
        <f>Fluxo_de_Caixa_Janeiro3459117[[#This Row],[JULHO]]</f>
        <v>0</v>
      </c>
      <c r="J349" s="62">
        <f>Fluxo_de_Caixa_Janeiro345911710[[#This Row],[AGOSTO]]</f>
        <v>0</v>
      </c>
      <c r="K349" s="62">
        <f>Fluxo_de_Caixa_Janeiro34591171012[[#This Row],[SETEMBRO]]</f>
        <v>0</v>
      </c>
      <c r="L349" s="62">
        <f>Fluxo_de_Caixa_Janeiro3459117101215[[#This Row],[OUTUBRO]]</f>
        <v>0</v>
      </c>
      <c r="M349" s="62">
        <f>Fluxo_de_Caixa_Janeiro345911710121516[[#This Row],[NOVEMBRO]]</f>
        <v>0</v>
      </c>
      <c r="N349" s="119">
        <f>Fluxo_de_Caixa_Janeiro34591171012151619[[#This Row],[DEZEMBRO]]</f>
        <v>0</v>
      </c>
      <c r="O349" s="243">
        <f>Fluxo_de_Caixa_Janeiro31020817[[#This Row],[Novembro]]</f>
        <v>0</v>
      </c>
      <c r="P349" s="138" t="str">
        <f t="shared" si="14"/>
        <v>0,00%</v>
      </c>
      <c r="Q349" s="78"/>
    </row>
    <row r="350" spans="2:18" x14ac:dyDescent="0.25">
      <c r="B350" s="47">
        <f>Fluxo_de_Caixa_Janeiro[[#This Row],[Fluxo de Caixa 2026 CTR]]</f>
        <v>0</v>
      </c>
      <c r="C350" s="35"/>
      <c r="D350" s="62"/>
      <c r="E350" s="62"/>
      <c r="F350" s="62"/>
      <c r="G350" s="62"/>
      <c r="H350" s="62"/>
      <c r="I350" s="35">
        <f>Fluxo_de_Caixa_Janeiro3459117[[#This Row],[JULHO]]</f>
        <v>0</v>
      </c>
      <c r="J350" s="62">
        <f>Fluxo_de_Caixa_Janeiro345911710[[#This Row],[AGOSTO]]</f>
        <v>0</v>
      </c>
      <c r="K350" s="62">
        <f>Fluxo_de_Caixa_Janeiro34591171012[[#This Row],[SETEMBRO]]</f>
        <v>0</v>
      </c>
      <c r="L350" s="62">
        <f>Fluxo_de_Caixa_Janeiro3459117101215[[#This Row],[OUTUBRO]]</f>
        <v>0</v>
      </c>
      <c r="M350" s="62">
        <f>Fluxo_de_Caixa_Janeiro345911710121516[[#This Row],[NOVEMBRO]]</f>
        <v>0</v>
      </c>
      <c r="N350" s="119">
        <f>Fluxo_de_Caixa_Janeiro34591171012151619[[#This Row],[DEZEMBRO]]</f>
        <v>0</v>
      </c>
      <c r="O350" s="243">
        <f>Fluxo_de_Caixa_Janeiro31020817[[#This Row],[Novembro]]</f>
        <v>0</v>
      </c>
      <c r="P350" s="138" t="str">
        <f t="shared" si="14"/>
        <v>0,00%</v>
      </c>
      <c r="Q350" s="78"/>
    </row>
    <row r="351" spans="2:18" ht="15.75" thickBot="1" x14ac:dyDescent="0.3">
      <c r="B351" s="165">
        <f>Fluxo_de_Caixa_Janeiro[[#This Row],[Fluxo de Caixa 2026 CTR]]</f>
        <v>0</v>
      </c>
      <c r="C351" s="36"/>
      <c r="D351" s="82"/>
      <c r="E351" s="82"/>
      <c r="F351" s="82"/>
      <c r="G351" s="82"/>
      <c r="H351" s="82"/>
      <c r="I351" s="36">
        <f>Fluxo_de_Caixa_Janeiro3459117[[#This Row],[JULHO]]</f>
        <v>0</v>
      </c>
      <c r="J351" s="82">
        <f>Fluxo_de_Caixa_Janeiro345911710[[#This Row],[AGOSTO]]</f>
        <v>0</v>
      </c>
      <c r="K351" s="82">
        <f>Fluxo_de_Caixa_Janeiro34591171012[[#This Row],[SETEMBRO]]</f>
        <v>0</v>
      </c>
      <c r="L351" s="82">
        <f>Fluxo_de_Caixa_Janeiro3459117101215[[#This Row],[OUTUBRO]]</f>
        <v>0</v>
      </c>
      <c r="M351" s="82">
        <f>Fluxo_de_Caixa_Janeiro345911710121516[[#This Row],[NOVEMBRO]]</f>
        <v>0</v>
      </c>
      <c r="N351" s="120">
        <f>Fluxo_de_Caixa_Janeiro34591171012151619[[#This Row],[DEZEMBRO]]</f>
        <v>0</v>
      </c>
      <c r="O351" s="243">
        <f>Fluxo_de_Caixa_Janeiro31020817[[#This Row],[Novembro]]</f>
        <v>0</v>
      </c>
      <c r="P351" s="139" t="str">
        <f t="shared" si="14"/>
        <v>0,00%</v>
      </c>
      <c r="Q351" s="115"/>
    </row>
    <row r="352" spans="2:18" ht="24" thickBot="1" x14ac:dyDescent="0.4">
      <c r="B352" s="176"/>
      <c r="C352" s="164"/>
      <c r="D352" s="116"/>
      <c r="E352" s="116"/>
      <c r="F352" s="116"/>
      <c r="G352" s="116"/>
      <c r="H352" s="116"/>
      <c r="I352" s="164">
        <f>Fluxo_de_Caixa_Janeiro3459117[[#This Row],[JULHO]]</f>
        <v>0</v>
      </c>
      <c r="J352" s="116">
        <f>Fluxo_de_Caixa_Janeiro345911710[[#This Row],[AGOSTO]]</f>
        <v>0</v>
      </c>
      <c r="K352" s="116">
        <f>Fluxo_de_Caixa_Janeiro34591171012[[#This Row],[SETEMBRO]]</f>
        <v>0</v>
      </c>
      <c r="L352" s="116">
        <f>Fluxo_de_Caixa_Janeiro3459117101215[[#This Row],[OUTUBRO]]</f>
        <v>0</v>
      </c>
      <c r="M352" s="116">
        <f>Fluxo_de_Caixa_Janeiro345911710121516[[#This Row],[NOVEMBRO]]</f>
        <v>0</v>
      </c>
      <c r="N352" s="136">
        <f>Fluxo_de_Caixa_Janeiro34591171012151619[[#This Row],[DEZEMBRO]]</f>
        <v>0</v>
      </c>
      <c r="O352" s="245">
        <f>O336-O335</f>
        <v>0</v>
      </c>
      <c r="P352" s="255" t="str">
        <f t="shared" si="14"/>
        <v>0,00%</v>
      </c>
      <c r="Q352" s="117"/>
    </row>
    <row r="353" spans="6:15" x14ac:dyDescent="0.25"/>
    <row r="354" spans="6:15" x14ac:dyDescent="0.25"/>
    <row r="355" spans="6:15" x14ac:dyDescent="0.25">
      <c r="O355" s="9"/>
    </row>
    <row r="356" spans="6:15" x14ac:dyDescent="0.25"/>
    <row r="357" spans="6:15" x14ac:dyDescent="0.25"/>
    <row r="358" spans="6:15" x14ac:dyDescent="0.25">
      <c r="F358" t="s">
        <v>160</v>
      </c>
      <c r="H358" s="287">
        <f>O238+O330-O264</f>
        <v>0</v>
      </c>
    </row>
    <row r="359" spans="6:15" x14ac:dyDescent="0.25"/>
    <row r="360" spans="6:15" x14ac:dyDescent="0.25">
      <c r="F360" t="s">
        <v>163</v>
      </c>
      <c r="H360" s="287">
        <f>H358-O334</f>
        <v>0</v>
      </c>
    </row>
    <row r="361" spans="6:15" x14ac:dyDescent="0.25"/>
    <row r="362" spans="6:15" x14ac:dyDescent="0.25"/>
    <row r="363" spans="6:15" x14ac:dyDescent="0.25">
      <c r="F363" t="s">
        <v>161</v>
      </c>
      <c r="H363" s="285">
        <v>1542276.54</v>
      </c>
    </row>
    <row r="364" spans="6:15" x14ac:dyDescent="0.25">
      <c r="G364" s="472" t="s">
        <v>164</v>
      </c>
      <c r="H364" s="287">
        <f>H363+H360</f>
        <v>1542276.54</v>
      </c>
    </row>
    <row r="365" spans="6:15" x14ac:dyDescent="0.25">
      <c r="F365" t="s">
        <v>165</v>
      </c>
      <c r="H365" s="246">
        <f>-458000-738000+248000</f>
        <v>-948000</v>
      </c>
    </row>
    <row r="366" spans="6:15" x14ac:dyDescent="0.25">
      <c r="H366" s="287">
        <f>H364+H365</f>
        <v>594276.54</v>
      </c>
    </row>
    <row r="367" spans="6:15" x14ac:dyDescent="0.25"/>
    <row r="368" spans="6:15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9" x14ac:dyDescent="0.25"/>
    <row r="411" x14ac:dyDescent="0.25"/>
    <row r="412" x14ac:dyDescent="0.25"/>
    <row r="413" x14ac:dyDescent="0.25"/>
    <row r="414" x14ac:dyDescent="0.25"/>
    <row r="415" x14ac:dyDescent="0.25"/>
  </sheetData>
  <protectedRanges>
    <protectedRange sqref="O326:O329 O311:O314 O276:O293" name="Despesas nao operacionais"/>
    <protectedRange sqref="O249:O255 O241:O247 O257:O260 O262:O271" name="Receita nao opercional"/>
    <protectedRange sqref="O14:O26" name="Bancos"/>
    <protectedRange sqref="O51 O29:O47" name="Total Receitas Operacionais  Vendas"/>
    <protectedRange sqref="O61:O63 O71:O72 O55:O59 O78:O84 O65:O69" name="Despesas Custo Aquisicao"/>
    <protectedRange sqref="O3:O13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51" name="Saldo Final de Banco_1"/>
    <protectedRange sqref="O89:O95" name="Despesas Operacionais_9"/>
    <protectedRange sqref="C344:H351" name="Saldo Final de Banco_2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43" name="Saldo Final de Banco_1_1"/>
    <protectedRange sqref="C89:H95" name="Despesas Operacionais_9_1"/>
    <protectedRange sqref="I344:N351" name="Saldo Final de Banco_4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5:N59 I78:N84 I65:N69" name="Despesas Custo Aquisicao_6"/>
    <protectedRange sqref="I3:N13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43" name="Saldo Final de Banco_1_3"/>
    <protectedRange sqref="I89:N95" name="Despesas Operacionais_9_3"/>
  </protectedRanges>
  <conditionalFormatting sqref="C86:H86">
    <cfRule type="cellIs" dxfId="93" priority="11" operator="lessThan">
      <formula>0</formula>
    </cfRule>
  </conditionalFormatting>
  <conditionalFormatting sqref="C237:H237 C334:H334">
    <cfRule type="cellIs" dxfId="92" priority="17" operator="lessThan">
      <formula>0</formula>
    </cfRule>
    <cfRule type="cellIs" dxfId="91" priority="18" operator="greaterThan">
      <formula>0</formula>
    </cfRule>
  </conditionalFormatting>
  <conditionalFormatting sqref="C237:H237">
    <cfRule type="cellIs" dxfId="90" priority="14" operator="greaterThan">
      <formula>0</formula>
    </cfRule>
  </conditionalFormatting>
  <conditionalFormatting sqref="C335:H335">
    <cfRule type="cellIs" dxfId="89" priority="12" operator="lessThan">
      <formula>0</formula>
    </cfRule>
    <cfRule type="cellIs" dxfId="88" priority="13" operator="greaterThan">
      <formula>0.001</formula>
    </cfRule>
    <cfRule type="cellIs" dxfId="87" priority="15" operator="lessThan">
      <formula>0</formula>
    </cfRule>
    <cfRule type="cellIs" dxfId="86" priority="16" operator="greaterThan">
      <formula>0</formula>
    </cfRule>
    <cfRule type="aboveAverage" dxfId="85" priority="20" aboveAverage="0"/>
  </conditionalFormatting>
  <conditionalFormatting sqref="I86:N86">
    <cfRule type="cellIs" dxfId="84" priority="1" operator="lessThan">
      <formula>0</formula>
    </cfRule>
  </conditionalFormatting>
  <conditionalFormatting sqref="I237:N237 I334:N334">
    <cfRule type="cellIs" dxfId="83" priority="8" operator="greaterThan">
      <formula>0</formula>
    </cfRule>
    <cfRule type="cellIs" dxfId="82" priority="7" operator="lessThan">
      <formula>0</formula>
    </cfRule>
  </conditionalFormatting>
  <conditionalFormatting sqref="I237:N237">
    <cfRule type="cellIs" dxfId="81" priority="4" operator="greaterThan">
      <formula>0</formula>
    </cfRule>
  </conditionalFormatting>
  <conditionalFormatting sqref="I335:N335">
    <cfRule type="cellIs" dxfId="80" priority="2" operator="lessThan">
      <formula>0</formula>
    </cfRule>
    <cfRule type="cellIs" dxfId="79" priority="3" operator="greaterThan">
      <formula>0.001</formula>
    </cfRule>
    <cfRule type="cellIs" dxfId="78" priority="5" operator="lessThan">
      <formula>0</formula>
    </cfRule>
    <cfRule type="cellIs" dxfId="77" priority="6" operator="greaterThan">
      <formula>0</formula>
    </cfRule>
    <cfRule type="aboveAverage" dxfId="76" priority="10" aboveAverage="0"/>
  </conditionalFormatting>
  <conditionalFormatting sqref="O86">
    <cfRule type="cellIs" dxfId="75" priority="21" operator="lessThan">
      <formula>0</formula>
    </cfRule>
  </conditionalFormatting>
  <conditionalFormatting sqref="O237 O334">
    <cfRule type="cellIs" dxfId="74" priority="29" operator="greaterThan">
      <formula>0</formula>
    </cfRule>
  </conditionalFormatting>
  <conditionalFormatting sqref="O237">
    <cfRule type="cellIs" dxfId="73" priority="23" operator="greaterThan">
      <formula>0</formula>
    </cfRule>
    <cfRule type="cellIs" dxfId="72" priority="24" operator="lessThan">
      <formula>0</formula>
    </cfRule>
  </conditionalFormatting>
  <conditionalFormatting sqref="O334">
    <cfRule type="cellIs" dxfId="71" priority="28" operator="lessThan">
      <formula>0</formula>
    </cfRule>
  </conditionalFormatting>
  <conditionalFormatting sqref="O335">
    <cfRule type="cellIs" dxfId="70" priority="26" operator="lessThan">
      <formula>0</formula>
    </cfRule>
    <cfRule type="cellIs" dxfId="69" priority="27" operator="greaterThan">
      <formula>0</formula>
    </cfRule>
    <cfRule type="cellIs" dxfId="68" priority="22" operator="greaterThan">
      <formula>0</formula>
    </cfRule>
    <cfRule type="aboveAverage" dxfId="67" priority="31" aboveAverage="0"/>
  </conditionalFormatting>
  <conditionalFormatting sqref="P86">
    <cfRule type="cellIs" dxfId="66" priority="43" operator="lessThan">
      <formula>0</formula>
    </cfRule>
  </conditionalFormatting>
  <conditionalFormatting sqref="P237 P334">
    <cfRule type="cellIs" dxfId="65" priority="51" operator="greaterThan">
      <formula>0</formula>
    </cfRule>
  </conditionalFormatting>
  <conditionalFormatting sqref="P237">
    <cfRule type="cellIs" dxfId="64" priority="45" operator="greaterThan">
      <formula>0</formula>
    </cfRule>
    <cfRule type="cellIs" dxfId="63" priority="46" operator="lessThan">
      <formula>0</formula>
    </cfRule>
  </conditionalFormatting>
  <conditionalFormatting sqref="P334">
    <cfRule type="cellIs" dxfId="62" priority="50" operator="lessThan">
      <formula>0</formula>
    </cfRule>
  </conditionalFormatting>
  <conditionalFormatting sqref="P335">
    <cfRule type="cellIs" dxfId="61" priority="44" operator="greaterThan">
      <formula>0</formula>
    </cfRule>
    <cfRule type="cellIs" dxfId="60" priority="48" operator="lessThan">
      <formula>0</formula>
    </cfRule>
    <cfRule type="cellIs" dxfId="59" priority="49" operator="greaterThan">
      <formula>0</formula>
    </cfRule>
    <cfRule type="aboveAverage" dxfId="58" priority="53" aboveAverage="0"/>
  </conditionalFormatting>
  <conditionalFormatting sqref="Q86">
    <cfRule type="cellIs" dxfId="57" priority="32" operator="lessThan">
      <formula>0</formula>
    </cfRule>
  </conditionalFormatting>
  <conditionalFormatting sqref="Q237 Q334">
    <cfRule type="cellIs" dxfId="56" priority="40" operator="greaterThan">
      <formula>0</formula>
    </cfRule>
  </conditionalFormatting>
  <conditionalFormatting sqref="Q237">
    <cfRule type="cellIs" dxfId="55" priority="34" operator="greaterThan">
      <formula>0</formula>
    </cfRule>
    <cfRule type="cellIs" dxfId="54" priority="35" operator="lessThan">
      <formula>0</formula>
    </cfRule>
  </conditionalFormatting>
  <conditionalFormatting sqref="Q334">
    <cfRule type="cellIs" dxfId="53" priority="39" operator="lessThan">
      <formula>0</formula>
    </cfRule>
  </conditionalFormatting>
  <conditionalFormatting sqref="Q335">
    <cfRule type="cellIs" dxfId="52" priority="33" operator="greaterThan">
      <formula>0</formula>
    </cfRule>
    <cfRule type="cellIs" dxfId="51" priority="37" operator="lessThan">
      <formula>0</formula>
    </cfRule>
    <cfRule type="cellIs" dxfId="50" priority="38" operator="greaterThan">
      <formula>0</formula>
    </cfRule>
    <cfRule type="aboveAverage" dxfId="49" priority="42" aboveAverage="0"/>
  </conditionalFormatting>
  <conditionalFormatting sqref="R27:R335">
    <cfRule type="iconSet" priority="54">
      <iconSet iconSet="3Arrows">
        <cfvo type="percent" val="0"/>
        <cfvo type="percent" val="$R$27&lt;=0"/>
        <cfvo type="percent" val="$R$27&gt;=0"/>
      </iconSet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8" priority="56" operator="containsText" text="FALSO">
      <formula>NOT(ISERROR(SEARCH("FALSO",R27)))</formula>
    </cfRule>
    <cfRule type="containsText" dxfId="47" priority="57" operator="containsText" text="VERDADEIRO">
      <formula>NOT(ISERROR(SEARCH("VERDADEIRO",R27)))</formula>
    </cfRule>
    <cfRule type="iconSet" priority="58">
      <iconSet iconSet="3Arrows">
        <cfvo type="percent" val="0"/>
        <cfvo type="percent" val="0"/>
        <cfvo type="percent" val="0"/>
      </iconSet>
    </cfRule>
    <cfRule type="iconSet" priority="59">
      <iconSet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9" scale="44" orientation="landscape" r:id="rId1"/>
  <rowBreaks count="3" manualBreakCount="3">
    <brk id="86" max="16383" man="1"/>
    <brk id="181" min="1" max="19" man="1"/>
    <brk id="237" min="1" max="19" man="1"/>
  </rowBreaks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1815-EE74-4F61-BBCC-EFF34AB9C9D8}">
  <sheetPr>
    <tabColor rgb="FFFFFF00"/>
    <pageSetUpPr autoPageBreaks="0" fitToPage="1"/>
  </sheetPr>
  <dimension ref="A1:HM421"/>
  <sheetViews>
    <sheetView zoomScale="90" zoomScaleNormal="90" zoomScaleSheetLayoutView="100" workbookViewId="0">
      <pane xSplit="2" ySplit="1" topLeftCell="C123" activePane="bottomRight" state="frozen"/>
      <selection pane="topRight" activeCell="B1" sqref="B1"/>
      <selection pane="bottomLeft" activeCell="A2" sqref="A2"/>
      <selection pane="bottomRight" activeCell="B163" sqref="B163"/>
    </sheetView>
  </sheetViews>
  <sheetFormatPr defaultColWidth="0" defaultRowHeight="15" x14ac:dyDescent="0.25"/>
  <cols>
    <col min="1" max="1" width="9.140625" hidden="1" customWidth="1"/>
    <col min="2" max="2" width="42.7109375" customWidth="1"/>
    <col min="3" max="9" width="23.7109375" customWidth="1"/>
    <col min="10" max="14" width="27.42578125" customWidth="1"/>
    <col min="15" max="15" width="29.7109375" style="246" bestFit="1" customWidth="1"/>
    <col min="16" max="16" width="15.5703125" style="6" bestFit="1" customWidth="1"/>
    <col min="17" max="17" width="15.5703125" style="9" customWidth="1"/>
    <col min="18" max="18" width="13.42578125" style="33" bestFit="1" customWidth="1"/>
    <col min="19" max="19" width="23.5703125" bestFit="1" customWidth="1"/>
    <col min="20" max="20" width="20" bestFit="1" customWidth="1"/>
    <col min="21" max="21" width="11.140625" customWidth="1"/>
    <col min="22" max="22" width="22.28515625" hidden="1" customWidth="1"/>
    <col min="23" max="23" width="20.140625" hidden="1" customWidth="1"/>
    <col min="24" max="24" width="24.7109375" hidden="1" customWidth="1"/>
    <col min="25" max="16384" width="9.140625" hidden="1"/>
  </cols>
  <sheetData>
    <row r="1" spans="1:18" ht="57.75" thickBot="1" x14ac:dyDescent="0.3">
      <c r="B1" s="649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648" t="s">
        <v>166</v>
      </c>
      <c r="P1" s="79" t="s">
        <v>312</v>
      </c>
      <c r="Q1" s="79" t="s">
        <v>168</v>
      </c>
      <c r="R1" s="30"/>
    </row>
    <row r="2" spans="1:18" s="1" customFormat="1" ht="24" thickBot="1" x14ac:dyDescent="0.4">
      <c r="A2" s="10" t="s">
        <v>52</v>
      </c>
      <c r="B2" s="46" t="str">
        <f>Fluxo_de_Caixa_Janeiro[[#This Row],[Fluxo de Caixa 2026 CTR]]</f>
        <v>Disponíveis Nas Contas Movimento inicial</v>
      </c>
      <c r="C2" s="156">
        <f>Fluxo_de_Caixa_Janeiro[[#This Row],[Janeiro]]</f>
        <v>67410.42</v>
      </c>
      <c r="D2" s="156">
        <f>Fluxo_de_Caixa_Janeiro3[[#This Row],[Fevereiro]]</f>
        <v>31847.63</v>
      </c>
      <c r="E2" s="156">
        <f>Fluxo_de_Caixa_Janeiro34[[#This Row],[Março]]</f>
        <v>8957.5900000000074</v>
      </c>
      <c r="F2" s="156">
        <f>Fluxo_de_Caixa_Janeiro345[[#This Row],[ABRIL]]</f>
        <v>437595.5799999999</v>
      </c>
      <c r="G2" s="156">
        <f>Fluxo_de_Caixa_Janeiro3459[[#This Row],[MAIO]]</f>
        <v>515135.91000000003</v>
      </c>
      <c r="H2" s="154">
        <f>Fluxo_de_Caixa_Janeiro345911[[#This Row],[JUNHO]]</f>
        <v>730895.57000000007</v>
      </c>
      <c r="I2" s="156">
        <f>Fluxo_de_Caixa_Janeiro3459117[[#This Row],[JULHO]]</f>
        <v>0</v>
      </c>
      <c r="J2" s="156">
        <f>Fluxo_de_Caixa_Janeiro345911710[[#This Row],[AGOSTO]]</f>
        <v>0</v>
      </c>
      <c r="K2" s="156">
        <f>Fluxo_de_Caixa_Janeiro34591171012[[#This Row],[SETEMBRO]]</f>
        <v>0</v>
      </c>
      <c r="L2" s="156">
        <f>Fluxo_de_Caixa_Janeiro3459117101215[[#This Row],[OUTUBRO]]</f>
        <v>0</v>
      </c>
      <c r="M2" s="156">
        <f>Fluxo_de_Caixa_Janeiro345911710121516[[#This Row],[NOVEMBRO]]</f>
        <v>0</v>
      </c>
      <c r="N2" s="154">
        <f>Fluxo_de_Caixa_Janeiro34591171012151619[[#This Row],[DEZEMBRO]]</f>
        <v>0</v>
      </c>
      <c r="O2" s="207">
        <f>Fluxo_de_Caixa_Janeiro31020818[[#This Row],[Janeiro]]</f>
        <v>67410.42</v>
      </c>
      <c r="P2" s="17">
        <f>SUM(P3:P17)</f>
        <v>0.86502739487456104</v>
      </c>
      <c r="Q2" s="65"/>
      <c r="R2" s="31"/>
    </row>
    <row r="3" spans="1:18" x14ac:dyDescent="0.25">
      <c r="B3" s="47" t="str">
        <f>Fluxo_de_Caixa_Janeiro[[#This Row],[Fluxo de Caixa 2026 CTR]]</f>
        <v>1.0 - TESOURARIA MATRIZ PALMAS</v>
      </c>
      <c r="C3" s="259">
        <f>Fluxo_de_Caixa_Janeiro[[#This Row],[Janeiro]]</f>
        <v>148.53</v>
      </c>
      <c r="D3" s="260">
        <f>Fluxo_de_Caixa_Janeiro3[[#This Row],[Fevereiro]]</f>
        <v>40.53</v>
      </c>
      <c r="E3" s="260">
        <f>Fluxo_de_Caixa_Janeiro34[[#This Row],[Março]]</f>
        <v>337.58</v>
      </c>
      <c r="F3" s="260">
        <f>Fluxo_de_Caixa_Janeiro345[[#This Row],[ABRIL]]</f>
        <v>850.58</v>
      </c>
      <c r="G3" s="260">
        <f>Fluxo_de_Caixa_Janeiro3459[[#This Row],[MAIO]]</f>
        <v>421.79</v>
      </c>
      <c r="H3" s="261">
        <f>Fluxo_de_Caixa_Janeiro345911[[#This Row],[JUNHO]]</f>
        <v>595.79</v>
      </c>
      <c r="I3" s="298">
        <f>Fluxo_de_Caixa_Janeiro3459117[[#This Row],[JULHO]]</f>
        <v>0</v>
      </c>
      <c r="J3" s="260">
        <f>Fluxo_de_Caixa_Janeiro345911710[[#This Row],[AGOSTO]]</f>
        <v>0</v>
      </c>
      <c r="K3" s="260">
        <f>Fluxo_de_Caixa_Janeiro34591171012[[#This Row],[SETEMBRO]]</f>
        <v>0</v>
      </c>
      <c r="L3" s="260">
        <f>Fluxo_de_Caixa_Janeiro3459117101215[[#This Row],[OUTUBRO]]</f>
        <v>0</v>
      </c>
      <c r="M3" s="260">
        <f>Fluxo_de_Caixa_Janeiro345911710121516[[#This Row],[NOVEMBRO]]</f>
        <v>0</v>
      </c>
      <c r="N3" s="261">
        <f>Fluxo_de_Caixa_Janeiro34591171012151619[[#This Row],[DEZEMBRO]]</f>
        <v>0</v>
      </c>
      <c r="O3" s="208">
        <f>Fluxo_de_Caixa_Janeiro31020818[[#This Row],[Janeiro]]</f>
        <v>148.53</v>
      </c>
      <c r="P3" s="28">
        <f t="shared" ref="P3:P16" si="0">IF(O3=0,"0,00%",O3/$O$2)</f>
        <v>2.2033685593414194E-3</v>
      </c>
      <c r="Q3" s="66"/>
      <c r="R3" s="31"/>
    </row>
    <row r="4" spans="1:18" x14ac:dyDescent="0.25">
      <c r="B4" s="47" t="str">
        <f>Fluxo_de_Caixa_Janeiro[[#This Row],[Fluxo de Caixa 2026 CTR]]</f>
        <v>1.1 - BANCO DO BRASIL C.C.60409-7 MATRIZ</v>
      </c>
      <c r="C4" s="256">
        <f>Fluxo_de_Caixa_Janeiro[[#This Row],[Janeiro]]</f>
        <v>15268.12</v>
      </c>
      <c r="D4" s="262">
        <f>Fluxo_de_Caixa_Janeiro3[[#This Row],[Fevereiro]]</f>
        <v>108.85</v>
      </c>
      <c r="E4" s="262">
        <f>Fluxo_de_Caixa_Janeiro34[[#This Row],[Março]]</f>
        <v>55.77</v>
      </c>
      <c r="F4" s="262">
        <f>Fluxo_de_Caixa_Janeiro345[[#This Row],[ABRIL]]</f>
        <v>36651.07</v>
      </c>
      <c r="G4" s="262">
        <f>Fluxo_de_Caixa_Janeiro3459[[#This Row],[MAIO]]</f>
        <v>52517.95</v>
      </c>
      <c r="H4" s="263">
        <f>Fluxo_de_Caixa_Janeiro345911[[#This Row],[JUNHO]]</f>
        <v>137058.82</v>
      </c>
      <c r="I4" s="262">
        <f>Fluxo_de_Caixa_Janeiro3459117[[#This Row],[JULHO]]</f>
        <v>0</v>
      </c>
      <c r="J4" s="262">
        <f>Fluxo_de_Caixa_Janeiro345911710[[#This Row],[AGOSTO]]</f>
        <v>0</v>
      </c>
      <c r="K4" s="262">
        <f>Fluxo_de_Caixa_Janeiro34591171012[[#This Row],[SETEMBRO]]</f>
        <v>0</v>
      </c>
      <c r="L4" s="262">
        <f>Fluxo_de_Caixa_Janeiro3459117101215[[#This Row],[OUTUBRO]]</f>
        <v>0</v>
      </c>
      <c r="M4" s="262">
        <f>Fluxo_de_Caixa_Janeiro345911710121516[[#This Row],[NOVEMBRO]]</f>
        <v>0</v>
      </c>
      <c r="N4" s="263">
        <f>Fluxo_de_Caixa_Janeiro34591171012151619[[#This Row],[DEZEMBRO]]</f>
        <v>0</v>
      </c>
      <c r="O4" s="208">
        <f>Fluxo_de_Caixa_Janeiro31020818[[#This Row],[Janeiro]]</f>
        <v>15268.12</v>
      </c>
      <c r="P4" s="138">
        <f t="shared" si="0"/>
        <v>0.22649495434088679</v>
      </c>
      <c r="Q4" s="66"/>
      <c r="R4" s="31"/>
    </row>
    <row r="5" spans="1:18" hidden="1" x14ac:dyDescent="0.25">
      <c r="B5" s="47">
        <f>Fluxo_de_Caixa_Janeiro[[#This Row],[Fluxo de Caixa 2026 CTR]]</f>
        <v>0</v>
      </c>
      <c r="C5" s="256">
        <f>Fluxo_de_Caixa_Janeiro[[#This Row],[Janeiro]]</f>
        <v>0</v>
      </c>
      <c r="D5" s="262">
        <f>Fluxo_de_Caixa_Janeiro3[[#This Row],[Fevereiro]]</f>
        <v>0</v>
      </c>
      <c r="E5" s="262">
        <f>Fluxo_de_Caixa_Janeiro34[[#This Row],[Março]]</f>
        <v>0</v>
      </c>
      <c r="F5" s="262">
        <f>Fluxo_de_Caixa_Janeiro345[[#This Row],[ABRIL]]</f>
        <v>0</v>
      </c>
      <c r="G5" s="262">
        <f>Fluxo_de_Caixa_Janeiro3459[[#This Row],[MAIO]]</f>
        <v>0</v>
      </c>
      <c r="H5" s="263">
        <f>Fluxo_de_Caixa_Janeiro345911[[#This Row],[JUNHO]]</f>
        <v>0</v>
      </c>
      <c r="I5" s="262">
        <f>Fluxo_de_Caixa_Janeiro3459117[[#This Row],[JULHO]]</f>
        <v>0</v>
      </c>
      <c r="J5" s="262">
        <f>Fluxo_de_Caixa_Janeiro345911710[[#This Row],[AGOSTO]]</f>
        <v>0</v>
      </c>
      <c r="K5" s="262">
        <f>Fluxo_de_Caixa_Janeiro34591171012[[#This Row],[SETEMBRO]]</f>
        <v>0</v>
      </c>
      <c r="L5" s="262">
        <f>Fluxo_de_Caixa_Janeiro3459117101215[[#This Row],[OUTUBRO]]</f>
        <v>0</v>
      </c>
      <c r="M5" s="262">
        <f>Fluxo_de_Caixa_Janeiro345911710121516[[#This Row],[NOVEMBRO]]</f>
        <v>0</v>
      </c>
      <c r="N5" s="263">
        <f>Fluxo_de_Caixa_Janeiro34591171012151619[[#This Row],[DEZEMBRO]]</f>
        <v>0</v>
      </c>
      <c r="O5" s="208">
        <f>Fluxo_de_Caixa_Janeiro31020818[[#This Row],[Janeiro]]</f>
        <v>0</v>
      </c>
      <c r="P5" s="138" t="str">
        <f t="shared" si="0"/>
        <v>0,00%</v>
      </c>
      <c r="Q5" s="66"/>
      <c r="R5" s="31"/>
    </row>
    <row r="6" spans="1:18" x14ac:dyDescent="0.25">
      <c r="B6" s="47" t="str">
        <f>Fluxo_de_Caixa_Janeiro[[#This Row],[Fluxo de Caixa 2026 CTR]]</f>
        <v>1.2-BRADESCO 15232-3 MATRIZ</v>
      </c>
      <c r="C6" s="256">
        <f>Fluxo_de_Caixa_Janeiro[[#This Row],[Janeiro]]</f>
        <v>8.6199999999999992</v>
      </c>
      <c r="D6" s="262">
        <f>Fluxo_de_Caixa_Janeiro3[[#This Row],[Fevereiro]]</f>
        <v>3332.91</v>
      </c>
      <c r="E6" s="262">
        <f>Fluxo_de_Caixa_Janeiro34[[#This Row],[Março]]</f>
        <v>25.97</v>
      </c>
      <c r="F6" s="262">
        <f>Fluxo_de_Caixa_Janeiro345[[#This Row],[ABRIL]]</f>
        <v>6785.01</v>
      </c>
      <c r="G6" s="262">
        <f>Fluxo_de_Caixa_Janeiro3459[[#This Row],[MAIO]]</f>
        <v>733.84</v>
      </c>
      <c r="H6" s="263">
        <f>Fluxo_de_Caixa_Janeiro345911[[#This Row],[JUNHO]]</f>
        <v>28967.96</v>
      </c>
      <c r="I6" s="262">
        <f>Fluxo_de_Caixa_Janeiro3459117[[#This Row],[JULHO]]</f>
        <v>0</v>
      </c>
      <c r="J6" s="262">
        <f>Fluxo_de_Caixa_Janeiro345911710[[#This Row],[AGOSTO]]</f>
        <v>0</v>
      </c>
      <c r="K6" s="262">
        <f>Fluxo_de_Caixa_Janeiro34591171012[[#This Row],[SETEMBRO]]</f>
        <v>0</v>
      </c>
      <c r="L6" s="262">
        <f>Fluxo_de_Caixa_Janeiro3459117101215[[#This Row],[OUTUBRO]]</f>
        <v>0</v>
      </c>
      <c r="M6" s="262">
        <f>Fluxo_de_Caixa_Janeiro345911710121516[[#This Row],[NOVEMBRO]]</f>
        <v>0</v>
      </c>
      <c r="N6" s="263">
        <f>Fluxo_de_Caixa_Janeiro34591171012151619[[#This Row],[DEZEMBRO]]</f>
        <v>0</v>
      </c>
      <c r="O6" s="208">
        <f>Fluxo_de_Caixa_Janeiro31020818[[#This Row],[Janeiro]]</f>
        <v>8.6199999999999992</v>
      </c>
      <c r="P6" s="138">
        <f t="shared" si="0"/>
        <v>1.2787340592151775E-4</v>
      </c>
      <c r="Q6" s="66"/>
      <c r="R6" s="31"/>
    </row>
    <row r="7" spans="1:18" hidden="1" x14ac:dyDescent="0.25">
      <c r="B7" s="47">
        <f>Fluxo_de_Caixa_Janeiro[[#This Row],[Fluxo de Caixa 2026 CTR]]</f>
        <v>0</v>
      </c>
      <c r="C7" s="256">
        <f>Fluxo_de_Caixa_Janeiro[[#This Row],[Janeiro]]</f>
        <v>0</v>
      </c>
      <c r="D7" s="262">
        <f>Fluxo_de_Caixa_Janeiro3[[#This Row],[Fevereiro]]</f>
        <v>0</v>
      </c>
      <c r="E7" s="262">
        <f>Fluxo_de_Caixa_Janeiro34[[#This Row],[Março]]</f>
        <v>0</v>
      </c>
      <c r="F7" s="262">
        <f>Fluxo_de_Caixa_Janeiro345[[#This Row],[ABRIL]]</f>
        <v>0</v>
      </c>
      <c r="G7" s="262">
        <f>Fluxo_de_Caixa_Janeiro3459[[#This Row],[MAIO]]</f>
        <v>0</v>
      </c>
      <c r="H7" s="263">
        <f>Fluxo_de_Caixa_Janeiro345911[[#This Row],[JUNHO]]</f>
        <v>0</v>
      </c>
      <c r="I7" s="262">
        <f>Fluxo_de_Caixa_Janeiro3459117[[#This Row],[JULHO]]</f>
        <v>0</v>
      </c>
      <c r="J7" s="262">
        <f>Fluxo_de_Caixa_Janeiro345911710[[#This Row],[AGOSTO]]</f>
        <v>0</v>
      </c>
      <c r="K7" s="262">
        <f>Fluxo_de_Caixa_Janeiro34591171012[[#This Row],[SETEMBRO]]</f>
        <v>0</v>
      </c>
      <c r="L7" s="262">
        <f>Fluxo_de_Caixa_Janeiro3459117101215[[#This Row],[OUTUBRO]]</f>
        <v>0</v>
      </c>
      <c r="M7" s="262">
        <f>Fluxo_de_Caixa_Janeiro345911710121516[[#This Row],[NOVEMBRO]]</f>
        <v>0</v>
      </c>
      <c r="N7" s="263">
        <f>Fluxo_de_Caixa_Janeiro34591171012151619[[#This Row],[DEZEMBRO]]</f>
        <v>0</v>
      </c>
      <c r="O7" s="208">
        <f>Fluxo_de_Caixa_Janeiro31020818[[#This Row],[Janeiro]]</f>
        <v>0</v>
      </c>
      <c r="P7" s="138" t="str">
        <f t="shared" si="0"/>
        <v>0,00%</v>
      </c>
      <c r="Q7" s="66"/>
      <c r="R7" s="31"/>
    </row>
    <row r="8" spans="1:18" x14ac:dyDescent="0.25">
      <c r="B8" s="47" t="str">
        <f>Fluxo_de_Caixa_Janeiro[[#This Row],[Fluxo de Caixa 2026 CTR]]</f>
        <v>1.3 - BANCO STONE MATRIZ C.C 40256726-7</v>
      </c>
      <c r="C8" s="256">
        <f>Fluxo_de_Caixa_Janeiro[[#This Row],[Janeiro]]</f>
        <v>0</v>
      </c>
      <c r="D8" s="262">
        <f>Fluxo_de_Caixa_Janeiro3[[#This Row],[Fevereiro]]</f>
        <v>2671</v>
      </c>
      <c r="E8" s="262">
        <f>Fluxo_de_Caixa_Janeiro34[[#This Row],[Março]]</f>
        <v>0</v>
      </c>
      <c r="F8" s="262">
        <f>Fluxo_de_Caixa_Janeiro345[[#This Row],[ABRIL]]</f>
        <v>0</v>
      </c>
      <c r="G8" s="262">
        <f>Fluxo_de_Caixa_Janeiro3459[[#This Row],[MAIO]]</f>
        <v>0</v>
      </c>
      <c r="H8" s="263">
        <f>Fluxo_de_Caixa_Janeiro345911[[#This Row],[JUNHO]]</f>
        <v>0</v>
      </c>
      <c r="I8" s="262">
        <f>Fluxo_de_Caixa_Janeiro3459117[[#This Row],[JULHO]]</f>
        <v>0</v>
      </c>
      <c r="J8" s="262">
        <f>Fluxo_de_Caixa_Janeiro345911710[[#This Row],[AGOSTO]]</f>
        <v>0</v>
      </c>
      <c r="K8" s="262">
        <f>Fluxo_de_Caixa_Janeiro34591171012[[#This Row],[SETEMBRO]]</f>
        <v>0</v>
      </c>
      <c r="L8" s="262">
        <f>Fluxo_de_Caixa_Janeiro3459117101215[[#This Row],[OUTUBRO]]</f>
        <v>0</v>
      </c>
      <c r="M8" s="262">
        <f>Fluxo_de_Caixa_Janeiro345911710121516[[#This Row],[NOVEMBRO]]</f>
        <v>0</v>
      </c>
      <c r="N8" s="263">
        <f>Fluxo_de_Caixa_Janeiro34591171012151619[[#This Row],[DEZEMBRO]]</f>
        <v>0</v>
      </c>
      <c r="O8" s="208">
        <f>Fluxo_de_Caixa_Janeiro31020818[[#This Row],[Janeiro]]</f>
        <v>0</v>
      </c>
      <c r="P8" s="138" t="str">
        <f t="shared" si="0"/>
        <v>0,00%</v>
      </c>
      <c r="Q8" s="66"/>
      <c r="R8" s="31"/>
    </row>
    <row r="9" spans="1:18" hidden="1" x14ac:dyDescent="0.25">
      <c r="B9" s="47" t="str">
        <f>Fluxo_de_Caixa_Janeiro[[#This Row],[Fluxo de Caixa 2026 CTR]]</f>
        <v>1.4 - BANCO DA AMAZONIA 071730-7 MATRIZ</v>
      </c>
      <c r="C9" s="256">
        <f>Fluxo_de_Caixa_Janeiro[[#This Row],[Janeiro]]</f>
        <v>124.56</v>
      </c>
      <c r="D9" s="262">
        <f>Fluxo_de_Caixa_Janeiro3[[#This Row],[Fevereiro]]</f>
        <v>281.77999999999997</v>
      </c>
      <c r="E9" s="262">
        <f>Fluxo_de_Caixa_Janeiro34[[#This Row],[Março]]</f>
        <v>1900.51</v>
      </c>
      <c r="F9" s="262">
        <f>Fluxo_de_Caixa_Janeiro345[[#This Row],[ABRIL]]</f>
        <v>304243.92</v>
      </c>
      <c r="G9" s="262">
        <f>Fluxo_de_Caixa_Janeiro3459[[#This Row],[MAIO]]</f>
        <v>5306.88</v>
      </c>
      <c r="H9" s="263">
        <f>Fluxo_de_Caixa_Janeiro345911[[#This Row],[JUNHO]]</f>
        <v>2192.0700000000002</v>
      </c>
      <c r="I9" s="262">
        <f>Fluxo_de_Caixa_Janeiro3459117[[#This Row],[JULHO]]</f>
        <v>0</v>
      </c>
      <c r="J9" s="262">
        <f>Fluxo_de_Caixa_Janeiro345911710[[#This Row],[AGOSTO]]</f>
        <v>0</v>
      </c>
      <c r="K9" s="262">
        <f>Fluxo_de_Caixa_Janeiro34591171012[[#This Row],[SETEMBRO]]</f>
        <v>0</v>
      </c>
      <c r="L9" s="262">
        <f>Fluxo_de_Caixa_Janeiro3459117101215[[#This Row],[OUTUBRO]]</f>
        <v>0</v>
      </c>
      <c r="M9" s="262">
        <f>Fluxo_de_Caixa_Janeiro345911710121516[[#This Row],[NOVEMBRO]]</f>
        <v>0</v>
      </c>
      <c r="N9" s="263">
        <f>Fluxo_de_Caixa_Janeiro34591171012151619[[#This Row],[DEZEMBRO]]</f>
        <v>0</v>
      </c>
      <c r="O9" s="208">
        <f>Fluxo_de_Caixa_Janeiro31020818[[#This Row],[Janeiro]]</f>
        <v>124.56</v>
      </c>
      <c r="P9" s="138">
        <f t="shared" si="0"/>
        <v>1.8477855500677789E-3</v>
      </c>
      <c r="Q9" s="66"/>
      <c r="R9" s="31"/>
    </row>
    <row r="10" spans="1:18" x14ac:dyDescent="0.25">
      <c r="B10" s="47" t="str">
        <f>Fluxo_de_Caixa_Janeiro[[#This Row],[Fluxo de Caixa 2026 CTR]]</f>
        <v>1.4.1.INVESTIMENTO CDBORE RCP TXFL</v>
      </c>
      <c r="C10" s="256">
        <f>Fluxo_de_Caixa_Janeiro[[#This Row],[Janeiro]]</f>
        <v>0</v>
      </c>
      <c r="D10" s="262">
        <f>Fluxo_de_Caixa_Janeiro3[[#This Row],[Fevereiro]]</f>
        <v>0</v>
      </c>
      <c r="E10" s="262">
        <f>Fluxo_de_Caixa_Janeiro34[[#This Row],[Março]]</f>
        <v>0</v>
      </c>
      <c r="F10" s="262">
        <f>Fluxo_de_Caixa_Janeiro345[[#This Row],[ABRIL]]</f>
        <v>0</v>
      </c>
      <c r="G10" s="262">
        <f>Fluxo_de_Caixa_Janeiro3459[[#This Row],[MAIO]]</f>
        <v>74541.539999999994</v>
      </c>
      <c r="H10" s="263">
        <f>Fluxo_de_Caixa_Janeiro345911[[#This Row],[JUNHO]]</f>
        <v>75309.53</v>
      </c>
      <c r="I10" s="262">
        <f>Fluxo_de_Caixa_Janeiro3459117[[#This Row],[JULHO]]</f>
        <v>0</v>
      </c>
      <c r="J10" s="262">
        <f>Fluxo_de_Caixa_Janeiro345911710[[#This Row],[AGOSTO]]</f>
        <v>0</v>
      </c>
      <c r="K10" s="262">
        <f>Fluxo_de_Caixa_Janeiro34591171012[[#This Row],[SETEMBRO]]</f>
        <v>0</v>
      </c>
      <c r="L10" s="262">
        <f>Fluxo_de_Caixa_Janeiro3459117101215[[#This Row],[OUTUBRO]]</f>
        <v>0</v>
      </c>
      <c r="M10" s="262">
        <f>Fluxo_de_Caixa_Janeiro345911710121516[[#This Row],[NOVEMBRO]]</f>
        <v>0</v>
      </c>
      <c r="N10" s="263">
        <f>Fluxo_de_Caixa_Janeiro34591171012151619[[#This Row],[DEZEMBRO]]</f>
        <v>0</v>
      </c>
      <c r="O10" s="208">
        <f>Fluxo_de_Caixa_Janeiro31020818[[#This Row],[Janeiro]]</f>
        <v>0</v>
      </c>
      <c r="P10" s="138" t="str">
        <f t="shared" si="0"/>
        <v>0,00%</v>
      </c>
      <c r="Q10" s="66"/>
      <c r="R10" s="31"/>
    </row>
    <row r="11" spans="1:18" x14ac:dyDescent="0.25">
      <c r="B11" s="47" t="str">
        <f>Fluxo_de_Caixa_Janeiro[[#This Row],[Fluxo de Caixa 2026 CTR]]</f>
        <v>1.5 -  ITAU C.C.98671-6 MATRIZ</v>
      </c>
      <c r="C11" s="256">
        <f>Fluxo_de_Caixa_Janeiro[[#This Row],[Janeiro]]</f>
        <v>40443.69</v>
      </c>
      <c r="D11" s="262">
        <f>Fluxo_de_Caixa_Janeiro3[[#This Row],[Fevereiro]]</f>
        <v>18153.73</v>
      </c>
      <c r="E11" s="262">
        <f>Fluxo_de_Caixa_Janeiro34[[#This Row],[Março]]</f>
        <v>33831.300000000003</v>
      </c>
      <c r="F11" s="262">
        <f>Fluxo_de_Caixa_Janeiro345[[#This Row],[ABRIL]]</f>
        <v>95802.27</v>
      </c>
      <c r="G11" s="262">
        <f>Fluxo_de_Caixa_Janeiro3459[[#This Row],[MAIO]]</f>
        <v>367595.19</v>
      </c>
      <c r="H11" s="263">
        <f>Fluxo_de_Caixa_Janeiro345911[[#This Row],[JUNHO]]</f>
        <v>456792.42</v>
      </c>
      <c r="I11" s="262">
        <f>Fluxo_de_Caixa_Janeiro3459117[[#This Row],[JULHO]]</f>
        <v>0</v>
      </c>
      <c r="J11" s="262">
        <f>Fluxo_de_Caixa_Janeiro345911710[[#This Row],[AGOSTO]]</f>
        <v>0</v>
      </c>
      <c r="K11" s="262">
        <f>Fluxo_de_Caixa_Janeiro34591171012[[#This Row],[SETEMBRO]]</f>
        <v>0</v>
      </c>
      <c r="L11" s="262">
        <f>Fluxo_de_Caixa_Janeiro3459117101215[[#This Row],[OUTUBRO]]</f>
        <v>0</v>
      </c>
      <c r="M11" s="262">
        <f>Fluxo_de_Caixa_Janeiro345911710121516[[#This Row],[NOVEMBRO]]</f>
        <v>0</v>
      </c>
      <c r="N11" s="263">
        <f>Fluxo_de_Caixa_Janeiro34591171012151619[[#This Row],[DEZEMBRO]]</f>
        <v>0</v>
      </c>
      <c r="O11" s="208">
        <f>Fluxo_de_Caixa_Janeiro31020818[[#This Row],[Janeiro]]</f>
        <v>40443.69</v>
      </c>
      <c r="P11" s="138">
        <f t="shared" si="0"/>
        <v>0.59996199400626793</v>
      </c>
      <c r="Q11" s="66"/>
      <c r="R11" s="31"/>
    </row>
    <row r="12" spans="1:18" x14ac:dyDescent="0.25">
      <c r="B12" s="47" t="str">
        <f>Fluxo_de_Caixa_Janeiro[[#This Row],[Fluxo de Caixa 2026 CTR]]</f>
        <v>1.5.03. ITAU C.C 83290-2 GARANTIDA</v>
      </c>
      <c r="C12" s="256">
        <f>Fluxo_de_Caixa_Janeiro[[#This Row],[Janeiro]]</f>
        <v>902.73</v>
      </c>
      <c r="D12" s="262">
        <f>Fluxo_de_Caixa_Janeiro3[[#This Row],[Fevereiro]]</f>
        <v>1286.28</v>
      </c>
      <c r="E12" s="262">
        <f>Fluxo_de_Caixa_Janeiro34[[#This Row],[Março]]</f>
        <v>5399.76</v>
      </c>
      <c r="F12" s="262">
        <f>Fluxo_de_Caixa_Janeiro345[[#This Row],[ABRIL]]</f>
        <v>0</v>
      </c>
      <c r="G12" s="262">
        <f>Fluxo_de_Caixa_Janeiro3459[[#This Row],[MAIO]]</f>
        <v>0</v>
      </c>
      <c r="H12" s="263">
        <f>Fluxo_de_Caixa_Janeiro345911[[#This Row],[JUNHO]]</f>
        <v>0</v>
      </c>
      <c r="I12" s="262">
        <f>Fluxo_de_Caixa_Janeiro3459117[[#This Row],[JULHO]]</f>
        <v>0</v>
      </c>
      <c r="J12" s="262">
        <f>Fluxo_de_Caixa_Janeiro345911710[[#This Row],[AGOSTO]]</f>
        <v>0</v>
      </c>
      <c r="K12" s="262">
        <f>Fluxo_de_Caixa_Janeiro34591171012[[#This Row],[SETEMBRO]]</f>
        <v>0</v>
      </c>
      <c r="L12" s="262">
        <f>Fluxo_de_Caixa_Janeiro3459117101215[[#This Row],[OUTUBRO]]</f>
        <v>0</v>
      </c>
      <c r="M12" s="262">
        <f>Fluxo_de_Caixa_Janeiro345911710121516[[#This Row],[NOVEMBRO]]</f>
        <v>0</v>
      </c>
      <c r="N12" s="263">
        <f>Fluxo_de_Caixa_Janeiro34591171012151619[[#This Row],[DEZEMBRO]]</f>
        <v>0</v>
      </c>
      <c r="O12" s="208">
        <f>Fluxo_de_Caixa_Janeiro31020818[[#This Row],[Janeiro]]</f>
        <v>902.73</v>
      </c>
      <c r="P12" s="138">
        <f t="shared" si="0"/>
        <v>1.3391549852381873E-2</v>
      </c>
      <c r="Q12" s="66"/>
      <c r="R12" s="31"/>
    </row>
    <row r="13" spans="1:18" x14ac:dyDescent="0.25">
      <c r="B13" s="47" t="str">
        <f>Fluxo_de_Caixa_Janeiro[[#This Row],[Fluxo de Caixa 2026 CTR]]</f>
        <v>1.9 - CONTA PERDA/ROUBO/BONIFICAÇÃO E DOAÇÃO</v>
      </c>
      <c r="C13" s="256">
        <f>Fluxo_de_Caixa_Janeiro[[#This Row],[Janeiro]]</f>
        <v>0</v>
      </c>
      <c r="D13" s="262">
        <f>Fluxo_de_Caixa_Janeiro3[[#This Row],[Fevereiro]]</f>
        <v>0</v>
      </c>
      <c r="E13" s="262">
        <f>Fluxo_de_Caixa_Janeiro34[[#This Row],[Março]]</f>
        <v>-20953.13</v>
      </c>
      <c r="F13" s="262">
        <f>Fluxo_de_Caixa_Janeiro345[[#This Row],[ABRIL]]</f>
        <v>-20953.13</v>
      </c>
      <c r="G13" s="262">
        <f>Fluxo_de_Caixa_Janeiro3459[[#This Row],[MAIO]]</f>
        <v>-20953.13</v>
      </c>
      <c r="H13" s="263">
        <f>Fluxo_de_Caixa_Janeiro345911[[#This Row],[JUNHO]]</f>
        <v>-25255.51</v>
      </c>
      <c r="I13" s="262">
        <f>Fluxo_de_Caixa_Janeiro3459117[[#This Row],[JULHO]]</f>
        <v>0</v>
      </c>
      <c r="J13" s="262">
        <f>Fluxo_de_Caixa_Janeiro345911710[[#This Row],[AGOSTO]]</f>
        <v>0</v>
      </c>
      <c r="K13" s="262">
        <f>Fluxo_de_Caixa_Janeiro34591171012[[#This Row],[SETEMBRO]]</f>
        <v>0</v>
      </c>
      <c r="L13" s="262">
        <f>Fluxo_de_Caixa_Janeiro3459117101215[[#This Row],[OUTUBRO]]</f>
        <v>0</v>
      </c>
      <c r="M13" s="262">
        <f>Fluxo_de_Caixa_Janeiro345911710121516[[#This Row],[NOVEMBRO]]</f>
        <v>0</v>
      </c>
      <c r="N13" s="263">
        <f>Fluxo_de_Caixa_Janeiro34591171012151619[[#This Row],[DEZEMBRO]]</f>
        <v>0</v>
      </c>
      <c r="O13" s="208">
        <f>Fluxo_de_Caixa_Janeiro31020818[[#This Row],[Janeiro]]</f>
        <v>0</v>
      </c>
      <c r="P13" s="138" t="str">
        <f t="shared" si="0"/>
        <v>0,00%</v>
      </c>
      <c r="Q13" s="66"/>
      <c r="R13" s="31"/>
    </row>
    <row r="14" spans="1:18" x14ac:dyDescent="0.25">
      <c r="B14" s="47">
        <f>Fluxo_de_Caixa_Janeiro[[#This Row],[Fluxo de Caixa 2026 CTR]]</f>
        <v>0</v>
      </c>
      <c r="C14" s="256">
        <f>Fluxo_de_Caixa_Janeiro[[#This Row],[Janeiro]]</f>
        <v>0</v>
      </c>
      <c r="D14" s="262">
        <f>Fluxo_de_Caixa_Janeiro3[[#This Row],[Fevereiro]]</f>
        <v>0</v>
      </c>
      <c r="E14" s="262">
        <f>Fluxo_de_Caixa_Janeiro34[[#This Row],[Março]]</f>
        <v>0</v>
      </c>
      <c r="F14" s="262">
        <f>Fluxo_de_Caixa_Janeiro345[[#This Row],[ABRIL]]</f>
        <v>0</v>
      </c>
      <c r="G14" s="262">
        <f>Fluxo_de_Caixa_Janeiro3459[[#This Row],[MAIO]]</f>
        <v>0</v>
      </c>
      <c r="H14" s="263">
        <f>Fluxo_de_Caixa_Janeiro345911[[#This Row],[JUNHO]]</f>
        <v>0</v>
      </c>
      <c r="I14" s="262">
        <f>Fluxo_de_Caixa_Janeiro3459117[[#This Row],[JULHO]]</f>
        <v>0</v>
      </c>
      <c r="J14" s="262">
        <f>Fluxo_de_Caixa_Janeiro345911710[[#This Row],[AGOSTO]]</f>
        <v>0</v>
      </c>
      <c r="K14" s="262">
        <f>Fluxo_de_Caixa_Janeiro34591171012[[#This Row],[SETEMBRO]]</f>
        <v>0</v>
      </c>
      <c r="L14" s="262">
        <f>Fluxo_de_Caixa_Janeiro3459117101215[[#This Row],[OUTUBRO]]</f>
        <v>0</v>
      </c>
      <c r="M14" s="262">
        <f>Fluxo_de_Caixa_Janeiro345911710121516[[#This Row],[NOVEMBRO]]</f>
        <v>0</v>
      </c>
      <c r="N14" s="263">
        <f>Fluxo_de_Caixa_Janeiro34591171012151619[[#This Row],[DEZEMBRO]]</f>
        <v>0</v>
      </c>
      <c r="O14" s="208">
        <f>Fluxo_de_Caixa_Janeiro31020818[[#This Row],[Janeiro]]</f>
        <v>0</v>
      </c>
      <c r="P14" s="138" t="str">
        <f t="shared" si="0"/>
        <v>0,00%</v>
      </c>
      <c r="Q14" s="66"/>
      <c r="R14" s="31"/>
    </row>
    <row r="15" spans="1:18" x14ac:dyDescent="0.25">
      <c r="B15" s="47" t="str">
        <f>Fluxo_de_Caixa_Janeiro[[#This Row],[Fluxo de Caixa 2026 CTR]]</f>
        <v>2.1 - BANCO DO BRASIL C.C.60638-3 FILIAL PALMAS</v>
      </c>
      <c r="C15" s="256">
        <f>Fluxo_de_Caixa_Janeiro[[#This Row],[Janeiro]]</f>
        <v>1415.61</v>
      </c>
      <c r="D15" s="262">
        <f>Fluxo_de_Caixa_Janeiro3[[#This Row],[Fevereiro]]</f>
        <v>1829.48</v>
      </c>
      <c r="E15" s="262">
        <f>Fluxo_de_Caixa_Janeiro34[[#This Row],[Março]]</f>
        <v>65.56</v>
      </c>
      <c r="F15" s="262">
        <f>Fluxo_de_Caixa_Janeiro345[[#This Row],[ABRIL]]</f>
        <v>33375.699999999997</v>
      </c>
      <c r="G15" s="262">
        <f>Fluxo_de_Caixa_Janeiro3459[[#This Row],[MAIO]]</f>
        <v>62169.13</v>
      </c>
      <c r="H15" s="263">
        <f>Fluxo_de_Caixa_Janeiro345911[[#This Row],[JUNHO]]</f>
        <v>87184.33</v>
      </c>
      <c r="I15" s="262">
        <f>Fluxo_de_Caixa_Janeiro3459117[[#This Row],[JULHO]]</f>
        <v>0</v>
      </c>
      <c r="J15" s="262">
        <f>Fluxo_de_Caixa_Janeiro345911710[[#This Row],[AGOSTO]]</f>
        <v>0</v>
      </c>
      <c r="K15" s="262">
        <f>Fluxo_de_Caixa_Janeiro34591171012[[#This Row],[SETEMBRO]]</f>
        <v>0</v>
      </c>
      <c r="L15" s="262">
        <f>Fluxo_de_Caixa_Janeiro3459117101215[[#This Row],[OUTUBRO]]</f>
        <v>0</v>
      </c>
      <c r="M15" s="262">
        <f>Fluxo_de_Caixa_Janeiro345911710121516[[#This Row],[NOVEMBRO]]</f>
        <v>0</v>
      </c>
      <c r="N15" s="263">
        <f>Fluxo_de_Caixa_Janeiro34591171012151619[[#This Row],[DEZEMBRO]]</f>
        <v>0</v>
      </c>
      <c r="O15" s="208">
        <f>Fluxo_de_Caixa_Janeiro31020818[[#This Row],[Janeiro]]</f>
        <v>1415.61</v>
      </c>
      <c r="P15" s="138">
        <f t="shared" si="0"/>
        <v>2.0999869159693707E-2</v>
      </c>
      <c r="Q15" s="66"/>
      <c r="R15" s="31"/>
    </row>
    <row r="16" spans="1:18" x14ac:dyDescent="0.25">
      <c r="B16" s="47">
        <f>Fluxo_de_Caixa_Janeiro[[#This Row],[Fluxo de Caixa 2026 CTR]]</f>
        <v>0</v>
      </c>
      <c r="C16" s="256">
        <f>Fluxo_de_Caixa_Janeiro[[#This Row],[Janeiro]]</f>
        <v>0</v>
      </c>
      <c r="D16" s="262">
        <f>Fluxo_de_Caixa_Janeiro3[[#This Row],[Fevereiro]]</f>
        <v>0</v>
      </c>
      <c r="E16" s="262">
        <f>Fluxo_de_Caixa_Janeiro34[[#This Row],[Março]]</f>
        <v>0</v>
      </c>
      <c r="F16" s="262">
        <f>Fluxo_de_Caixa_Janeiro345[[#This Row],[ABRIL]]</f>
        <v>0</v>
      </c>
      <c r="G16" s="262">
        <f>Fluxo_de_Caixa_Janeiro3459[[#This Row],[MAIO]]</f>
        <v>0</v>
      </c>
      <c r="H16" s="263">
        <f>Fluxo_de_Caixa_Janeiro345911[[#This Row],[JUNHO]]</f>
        <v>0</v>
      </c>
      <c r="I16" s="262">
        <f>Fluxo_de_Caixa_Janeiro3459117[[#This Row],[JULHO]]</f>
        <v>0</v>
      </c>
      <c r="J16" s="262">
        <f>Fluxo_de_Caixa_Janeiro345911710[[#This Row],[AGOSTO]]</f>
        <v>0</v>
      </c>
      <c r="K16" s="262">
        <f>Fluxo_de_Caixa_Janeiro34591171012[[#This Row],[SETEMBRO]]</f>
        <v>0</v>
      </c>
      <c r="L16" s="262">
        <f>Fluxo_de_Caixa_Janeiro3459117101215[[#This Row],[OUTUBRO]]</f>
        <v>0</v>
      </c>
      <c r="M16" s="262">
        <f>Fluxo_de_Caixa_Janeiro345911710121516[[#This Row],[NOVEMBRO]]</f>
        <v>0</v>
      </c>
      <c r="N16" s="263">
        <f>Fluxo_de_Caixa_Janeiro34591171012151619[[#This Row],[DEZEMBRO]]</f>
        <v>0</v>
      </c>
      <c r="O16" s="208">
        <f>Fluxo_de_Caixa_Janeiro31020818[[#This Row],[Janeiro]]</f>
        <v>0</v>
      </c>
      <c r="P16" s="138" t="str">
        <f t="shared" si="0"/>
        <v>0,00%</v>
      </c>
      <c r="Q16" s="66"/>
      <c r="R16" s="31"/>
    </row>
    <row r="17" spans="1:19" x14ac:dyDescent="0.25">
      <c r="B17" s="47">
        <f>Fluxo_de_Caixa_Janeiro[[#This Row],[Fluxo de Caixa 2026 CTR]]</f>
        <v>0</v>
      </c>
      <c r="C17" s="256">
        <f>Fluxo_de_Caixa_Janeiro[[#This Row],[Janeiro]]</f>
        <v>0</v>
      </c>
      <c r="D17" s="262">
        <f>Fluxo_de_Caixa_Janeiro3[[#This Row],[Fevereiro]]</f>
        <v>0</v>
      </c>
      <c r="E17" s="262">
        <f>Fluxo_de_Caixa_Janeiro34[[#This Row],[Março]]</f>
        <v>0</v>
      </c>
      <c r="F17" s="262">
        <f>Fluxo_de_Caixa_Janeiro345[[#This Row],[ABRIL]]</f>
        <v>0</v>
      </c>
      <c r="G17" s="262">
        <f>Fluxo_de_Caixa_Janeiro3459[[#This Row],[MAIO]]</f>
        <v>0</v>
      </c>
      <c r="H17" s="263">
        <f>Fluxo_de_Caixa_Janeiro345911[[#This Row],[JUNHO]]</f>
        <v>0</v>
      </c>
      <c r="I17" s="262">
        <f>Fluxo_de_Caixa_Janeiro3459117[[#This Row],[JULHO]]</f>
        <v>0</v>
      </c>
      <c r="J17" s="262">
        <f>Fluxo_de_Caixa_Janeiro345911710[[#This Row],[AGOSTO]]</f>
        <v>0</v>
      </c>
      <c r="K17" s="262">
        <f>Fluxo_de_Caixa_Janeiro34591171012[[#This Row],[SETEMBRO]]</f>
        <v>0</v>
      </c>
      <c r="L17" s="262">
        <f>Fluxo_de_Caixa_Janeiro3459117101215[[#This Row],[OUTUBRO]]</f>
        <v>0</v>
      </c>
      <c r="M17" s="262">
        <f>Fluxo_de_Caixa_Janeiro345911710121516[[#This Row],[NOVEMBRO]]</f>
        <v>0</v>
      </c>
      <c r="N17" s="263">
        <f>Fluxo_de_Caixa_Janeiro34591171012151619[[#This Row],[DEZEMBRO]]</f>
        <v>0</v>
      </c>
      <c r="O17" s="208">
        <f>Fluxo_de_Caixa_Janeiro31020818[[#This Row],[Janeiro]]</f>
        <v>0</v>
      </c>
      <c r="P17" s="138" t="str">
        <f t="shared" ref="P17:P26" si="1">IF(O17=0,"0,00%",O17/$O$2)</f>
        <v>0,00%</v>
      </c>
      <c r="Q17" s="66"/>
      <c r="R17" s="31"/>
    </row>
    <row r="18" spans="1:19" x14ac:dyDescent="0.25">
      <c r="B18" s="47" t="str">
        <f>Fluxo_de_Caixa_Janeiro[[#This Row],[Fluxo de Caixa 2026 CTR]]</f>
        <v>2.4 - ITAU C.C.98669-0 FILIAL PALMAS</v>
      </c>
      <c r="C18" s="256">
        <f>Fluxo_de_Caixa_Janeiro[[#This Row],[Janeiro]]</f>
        <v>536.72</v>
      </c>
      <c r="D18" s="262">
        <f>Fluxo_de_Caixa_Janeiro3[[#This Row],[Fevereiro]]</f>
        <v>536.72</v>
      </c>
      <c r="E18" s="262">
        <f>Fluxo_de_Caixa_Janeiro34[[#This Row],[Março]]</f>
        <v>37.729999999999997</v>
      </c>
      <c r="F18" s="262">
        <f>Fluxo_de_Caixa_Janeiro345[[#This Row],[ABRIL]]</f>
        <v>37.729999999999997</v>
      </c>
      <c r="G18" s="262">
        <f>Fluxo_de_Caixa_Janeiro3459[[#This Row],[MAIO]]</f>
        <v>37.729999999999997</v>
      </c>
      <c r="H18" s="263">
        <f>Fluxo_de_Caixa_Janeiro345911[[#This Row],[JUNHO]]</f>
        <v>37.729999999999997</v>
      </c>
      <c r="I18" s="262">
        <f>Fluxo_de_Caixa_Janeiro3459117[[#This Row],[JULHO]]</f>
        <v>0</v>
      </c>
      <c r="J18" s="262">
        <f>Fluxo_de_Caixa_Janeiro345911710[[#This Row],[AGOSTO]]</f>
        <v>0</v>
      </c>
      <c r="K18" s="262">
        <f>Fluxo_de_Caixa_Janeiro34591171012[[#This Row],[SETEMBRO]]</f>
        <v>0</v>
      </c>
      <c r="L18" s="262">
        <f>Fluxo_de_Caixa_Janeiro3459117101215[[#This Row],[OUTUBRO]]</f>
        <v>0</v>
      </c>
      <c r="M18" s="262">
        <f>Fluxo_de_Caixa_Janeiro345911710121516[[#This Row],[NOVEMBRO]]</f>
        <v>0</v>
      </c>
      <c r="N18" s="263">
        <f>Fluxo_de_Caixa_Janeiro34591171012151619[[#This Row],[DEZEMBRO]]</f>
        <v>0</v>
      </c>
      <c r="O18" s="208">
        <f>Fluxo_de_Caixa_Janeiro31020818[[#This Row],[Janeiro]]</f>
        <v>536.72</v>
      </c>
      <c r="P18" s="138">
        <f t="shared" si="1"/>
        <v>7.961973831345363E-3</v>
      </c>
      <c r="Q18" s="66"/>
      <c r="R18" s="31"/>
    </row>
    <row r="19" spans="1:19" x14ac:dyDescent="0.25">
      <c r="B19" s="47" t="str">
        <f>Fluxo_de_Caixa_Janeiro[[#This Row],[Fluxo de Caixa 2026 CTR]]</f>
        <v>2.9 - CONTA PERDA/ROUBO E BONIFICAÇÃO FILIAL</v>
      </c>
      <c r="C19" s="256">
        <f>Fluxo_de_Caixa_Janeiro[[#This Row],[Janeiro]]</f>
        <v>0</v>
      </c>
      <c r="D19" s="262">
        <f>Fluxo_de_Caixa_Janeiro3[[#This Row],[Fevereiro]]</f>
        <v>-219.15</v>
      </c>
      <c r="E19" s="262">
        <f>Fluxo_de_Caixa_Janeiro34[[#This Row],[Março]]</f>
        <v>-8598.58</v>
      </c>
      <c r="F19" s="262">
        <f>Fluxo_de_Caixa_Janeiro345[[#This Row],[ABRIL]]</f>
        <v>-8598.58</v>
      </c>
      <c r="G19" s="262">
        <f>Fluxo_de_Caixa_Janeiro3459[[#This Row],[MAIO]]</f>
        <v>-8367.5</v>
      </c>
      <c r="H19" s="263">
        <f>Fluxo_de_Caixa_Janeiro345911[[#This Row],[JUNHO]]</f>
        <v>-8367.5</v>
      </c>
      <c r="I19" s="262">
        <f>Fluxo_de_Caixa_Janeiro3459117[[#This Row],[JULHO]]</f>
        <v>0</v>
      </c>
      <c r="J19" s="262">
        <f>Fluxo_de_Caixa_Janeiro345911710[[#This Row],[AGOSTO]]</f>
        <v>0</v>
      </c>
      <c r="K19" s="262">
        <f>Fluxo_de_Caixa_Janeiro34591171012[[#This Row],[SETEMBRO]]</f>
        <v>0</v>
      </c>
      <c r="L19" s="262">
        <f>Fluxo_de_Caixa_Janeiro3459117101215[[#This Row],[OUTUBRO]]</f>
        <v>0</v>
      </c>
      <c r="M19" s="262">
        <f>Fluxo_de_Caixa_Janeiro345911710121516[[#This Row],[NOVEMBRO]]</f>
        <v>0</v>
      </c>
      <c r="N19" s="263">
        <f>Fluxo_de_Caixa_Janeiro34591171012151619[[#This Row],[DEZEMBRO]]</f>
        <v>0</v>
      </c>
      <c r="O19" s="208">
        <f>Fluxo_de_Caixa_Janeiro31020818[[#This Row],[Janeiro]]</f>
        <v>0</v>
      </c>
      <c r="P19" s="138" t="str">
        <f t="shared" si="1"/>
        <v>0,00%</v>
      </c>
      <c r="Q19" s="66"/>
      <c r="R19" s="31"/>
    </row>
    <row r="20" spans="1:19" x14ac:dyDescent="0.25">
      <c r="B20" s="47" t="str">
        <f>Fluxo_de_Caixa_Janeiro[[#This Row],[Fluxo de Caixa 2026 CTR]]</f>
        <v>4.0 - TESOURARIA FILIAL PORTO</v>
      </c>
      <c r="C20" s="256">
        <f>Fluxo_de_Caixa_Janeiro[[#This Row],[Janeiro]]</f>
        <v>1409.97</v>
      </c>
      <c r="D20" s="262">
        <f>Fluxo_de_Caixa_Janeiro3[[#This Row],[Fevereiro]]</f>
        <v>385.51</v>
      </c>
      <c r="E20" s="262">
        <f>Fluxo_de_Caixa_Janeiro34[[#This Row],[Março]]</f>
        <v>1327.43</v>
      </c>
      <c r="F20" s="262">
        <f>Fluxo_de_Caixa_Janeiro345[[#This Row],[ABRIL]]</f>
        <v>534.16</v>
      </c>
      <c r="G20" s="262">
        <f>Fluxo_de_Caixa_Janeiro3459[[#This Row],[MAIO]]</f>
        <v>372.39</v>
      </c>
      <c r="H20" s="263">
        <f>Fluxo_de_Caixa_Janeiro345911[[#This Row],[JUNHO]]</f>
        <v>1465.27</v>
      </c>
      <c r="I20" s="262">
        <f>Fluxo_de_Caixa_Janeiro3459117[[#This Row],[JULHO]]</f>
        <v>0</v>
      </c>
      <c r="J20" s="262">
        <f>Fluxo_de_Caixa_Janeiro345911710[[#This Row],[AGOSTO]]</f>
        <v>0</v>
      </c>
      <c r="K20" s="262">
        <f>Fluxo_de_Caixa_Janeiro34591171012[[#This Row],[SETEMBRO]]</f>
        <v>0</v>
      </c>
      <c r="L20" s="262">
        <f>Fluxo_de_Caixa_Janeiro3459117101215[[#This Row],[OUTUBRO]]</f>
        <v>0</v>
      </c>
      <c r="M20" s="262">
        <f>Fluxo_de_Caixa_Janeiro345911710121516[[#This Row],[NOVEMBRO]]</f>
        <v>0</v>
      </c>
      <c r="N20" s="263">
        <f>Fluxo_de_Caixa_Janeiro34591171012151619[[#This Row],[DEZEMBRO]]</f>
        <v>0</v>
      </c>
      <c r="O20" s="208">
        <f>Fluxo_de_Caixa_Janeiro31020818[[#This Row],[Janeiro]]</f>
        <v>1409.97</v>
      </c>
      <c r="P20" s="138">
        <f t="shared" si="1"/>
        <v>2.0916202569276381E-2</v>
      </c>
      <c r="Q20" s="66"/>
      <c r="R20" s="31"/>
    </row>
    <row r="21" spans="1:19" x14ac:dyDescent="0.25">
      <c r="B21" s="47" t="str">
        <f>Fluxo_de_Caixa_Janeiro[[#This Row],[Fluxo de Caixa 2026 CTR]]</f>
        <v>4.1 -  BANCO DO BRASIL C.C.61105-0 FILIAL PORTO</v>
      </c>
      <c r="C21" s="256">
        <f>Fluxo_de_Caixa_Janeiro[[#This Row],[Janeiro]]</f>
        <v>57.34</v>
      </c>
      <c r="D21" s="262">
        <f>Fluxo_de_Caixa_Janeiro3[[#This Row],[Fevereiro]]</f>
        <v>16.829999999999998</v>
      </c>
      <c r="E21" s="262">
        <f>Fluxo_de_Caixa_Janeiro34[[#This Row],[Março]]</f>
        <v>111.93</v>
      </c>
      <c r="F21" s="262">
        <f>Fluxo_de_Caixa_Janeiro345[[#This Row],[ABRIL]]</f>
        <v>521.91999999999996</v>
      </c>
      <c r="G21" s="262">
        <f>Fluxo_de_Caixa_Janeiro3459[[#This Row],[MAIO]]</f>
        <v>308.02999999999997</v>
      </c>
      <c r="H21" s="263">
        <f>Fluxo_de_Caixa_Janeiro345911[[#This Row],[JUNHO]]</f>
        <v>242.15</v>
      </c>
      <c r="I21" s="262">
        <f>Fluxo_de_Caixa_Janeiro3459117[[#This Row],[JULHO]]</f>
        <v>0</v>
      </c>
      <c r="J21" s="262">
        <f>Fluxo_de_Caixa_Janeiro345911710[[#This Row],[AGOSTO]]</f>
        <v>0</v>
      </c>
      <c r="K21" s="262">
        <f>Fluxo_de_Caixa_Janeiro34591171012[[#This Row],[SETEMBRO]]</f>
        <v>0</v>
      </c>
      <c r="L21" s="262">
        <f>Fluxo_de_Caixa_Janeiro3459117101215[[#This Row],[OUTUBRO]]</f>
        <v>0</v>
      </c>
      <c r="M21" s="262">
        <f>Fluxo_de_Caixa_Janeiro345911710121516[[#This Row],[NOVEMBRO]]</f>
        <v>0</v>
      </c>
      <c r="N21" s="263">
        <f>Fluxo_de_Caixa_Janeiro34591171012151619[[#This Row],[DEZEMBRO]]</f>
        <v>0</v>
      </c>
      <c r="O21" s="208">
        <f>Fluxo_de_Caixa_Janeiro31020818[[#This Row],[Janeiro]]</f>
        <v>57.34</v>
      </c>
      <c r="P21" s="138">
        <f t="shared" si="1"/>
        <v>8.5061033590949295E-4</v>
      </c>
      <c r="Q21" s="66"/>
      <c r="R21" s="31"/>
    </row>
    <row r="22" spans="1:19" hidden="1" x14ac:dyDescent="0.25">
      <c r="B22" s="47">
        <f>Fluxo_de_Caixa_Janeiro[[#This Row],[Fluxo de Caixa 2026 CTR]]</f>
        <v>0</v>
      </c>
      <c r="C22" s="256">
        <f>Fluxo_de_Caixa_Janeiro[[#This Row],[Janeiro]]</f>
        <v>0</v>
      </c>
      <c r="D22" s="262">
        <f>Fluxo_de_Caixa_Janeiro3[[#This Row],[Fevereiro]]</f>
        <v>0</v>
      </c>
      <c r="E22" s="262">
        <f>Fluxo_de_Caixa_Janeiro34[[#This Row],[Março]]</f>
        <v>0</v>
      </c>
      <c r="F22" s="262">
        <f>Fluxo_de_Caixa_Janeiro345[[#This Row],[ABRIL]]</f>
        <v>0</v>
      </c>
      <c r="G22" s="262">
        <f>Fluxo_de_Caixa_Janeiro3459[[#This Row],[MAIO]]</f>
        <v>0</v>
      </c>
      <c r="H22" s="263">
        <f>Fluxo_de_Caixa_Janeiro345911[[#This Row],[JUNHO]]</f>
        <v>0</v>
      </c>
      <c r="I22" s="262">
        <f>Fluxo_de_Caixa_Janeiro3459117[[#This Row],[JULHO]]</f>
        <v>0</v>
      </c>
      <c r="J22" s="262">
        <f>Fluxo_de_Caixa_Janeiro345911710[[#This Row],[AGOSTO]]</f>
        <v>0</v>
      </c>
      <c r="K22" s="262">
        <f>Fluxo_de_Caixa_Janeiro34591171012[[#This Row],[SETEMBRO]]</f>
        <v>0</v>
      </c>
      <c r="L22" s="262">
        <f>Fluxo_de_Caixa_Janeiro3459117101215[[#This Row],[OUTUBRO]]</f>
        <v>0</v>
      </c>
      <c r="M22" s="262">
        <f>Fluxo_de_Caixa_Janeiro345911710121516[[#This Row],[NOVEMBRO]]</f>
        <v>0</v>
      </c>
      <c r="N22" s="263">
        <f>Fluxo_de_Caixa_Janeiro34591171012151619[[#This Row],[DEZEMBRO]]</f>
        <v>0</v>
      </c>
      <c r="O22" s="208">
        <f>Fluxo_de_Caixa_Janeiro31020818[[#This Row],[Janeiro]]</f>
        <v>0</v>
      </c>
      <c r="P22" s="138" t="str">
        <f t="shared" si="1"/>
        <v>0,00%</v>
      </c>
      <c r="Q22" s="66"/>
      <c r="R22" s="31"/>
    </row>
    <row r="23" spans="1:19" x14ac:dyDescent="0.25">
      <c r="B23" s="47" t="str">
        <f>Fluxo_de_Caixa_Janeiro[[#This Row],[Fluxo de Caixa 2026 CTR]]</f>
        <v>4.4 - MERCADO PAGO PIX FILIAL PORTO</v>
      </c>
      <c r="C23" s="256">
        <f>Fluxo_de_Caixa_Janeiro[[#This Row],[Janeiro]]</f>
        <v>5412.19</v>
      </c>
      <c r="D23" s="262">
        <f>Fluxo_de_Caixa_Janeiro3[[#This Row],[Fevereiro]]</f>
        <v>2060.42</v>
      </c>
      <c r="E23" s="262">
        <f>Fluxo_de_Caixa_Janeiro34[[#This Row],[Março]]</f>
        <v>22539.57</v>
      </c>
      <c r="F23" s="262">
        <f>Fluxo_de_Caixa_Janeiro345[[#This Row],[ABRIL]]</f>
        <v>13187.1</v>
      </c>
      <c r="G23" s="262">
        <f>Fluxo_de_Caixa_Janeiro3459[[#This Row],[MAIO]]</f>
        <v>6468.92</v>
      </c>
      <c r="H23" s="263">
        <f>Fluxo_de_Caixa_Janeiro345911[[#This Row],[JUNHO]]</f>
        <v>1811.61</v>
      </c>
      <c r="I23" s="262">
        <f>Fluxo_de_Caixa_Janeiro3459117[[#This Row],[JULHO]]</f>
        <v>0</v>
      </c>
      <c r="J23" s="262">
        <f>Fluxo_de_Caixa_Janeiro345911710[[#This Row],[AGOSTO]]</f>
        <v>0</v>
      </c>
      <c r="K23" s="262">
        <f>Fluxo_de_Caixa_Janeiro34591171012[[#This Row],[SETEMBRO]]</f>
        <v>0</v>
      </c>
      <c r="L23" s="262">
        <f>Fluxo_de_Caixa_Janeiro3459117101215[[#This Row],[OUTUBRO]]</f>
        <v>0</v>
      </c>
      <c r="M23" s="262">
        <f>Fluxo_de_Caixa_Janeiro345911710121516[[#This Row],[NOVEMBRO]]</f>
        <v>0</v>
      </c>
      <c r="N23" s="263">
        <f>Fluxo_de_Caixa_Janeiro34591171012151619[[#This Row],[DEZEMBRO]]</f>
        <v>0</v>
      </c>
      <c r="O23" s="208">
        <f>Fluxo_de_Caixa_Janeiro31020818[[#This Row],[Janeiro]]</f>
        <v>5412.19</v>
      </c>
      <c r="P23" s="138">
        <f t="shared" si="1"/>
        <v>8.0287142551552115E-2</v>
      </c>
      <c r="Q23" s="66"/>
      <c r="R23" s="31"/>
    </row>
    <row r="24" spans="1:19" x14ac:dyDescent="0.25">
      <c r="B24" s="47" t="str">
        <f>Fluxo_de_Caixa_Janeiro[[#This Row],[Fluxo de Caixa 2026 CTR]]</f>
        <v>4.9 - CONTA PERDA/ROUBO E BONIFICAÇÃO FILIAL</v>
      </c>
      <c r="C24" s="256">
        <f>Fluxo_de_Caixa_Janeiro[[#This Row],[Janeiro]]</f>
        <v>0</v>
      </c>
      <c r="D24" s="262">
        <f>Fluxo_de_Caixa_Janeiro3[[#This Row],[Fevereiro]]</f>
        <v>0</v>
      </c>
      <c r="E24" s="262">
        <f>Fluxo_de_Caixa_Janeiro34[[#This Row],[Março]]</f>
        <v>-29071.86</v>
      </c>
      <c r="F24" s="262">
        <f>Fluxo_de_Caixa_Janeiro345[[#This Row],[ABRIL]]</f>
        <v>-29071.86</v>
      </c>
      <c r="G24" s="262">
        <f>Fluxo_de_Caixa_Janeiro3459[[#This Row],[MAIO]]</f>
        <v>-29071.86</v>
      </c>
      <c r="H24" s="263">
        <f>Fluxo_de_Caixa_Janeiro345911[[#This Row],[JUNHO]]</f>
        <v>-29071.86</v>
      </c>
      <c r="I24" s="262">
        <f>Fluxo_de_Caixa_Janeiro3459117[[#This Row],[JULHO]]</f>
        <v>0</v>
      </c>
      <c r="J24" s="262">
        <f>Fluxo_de_Caixa_Janeiro345911710[[#This Row],[AGOSTO]]</f>
        <v>0</v>
      </c>
      <c r="K24" s="262">
        <f>Fluxo_de_Caixa_Janeiro34591171012[[#This Row],[SETEMBRO]]</f>
        <v>0</v>
      </c>
      <c r="L24" s="262">
        <f>Fluxo_de_Caixa_Janeiro3459117101215[[#This Row],[OUTUBRO]]</f>
        <v>0</v>
      </c>
      <c r="M24" s="262">
        <f>Fluxo_de_Caixa_Janeiro345911710121516[[#This Row],[NOVEMBRO]]</f>
        <v>0</v>
      </c>
      <c r="N24" s="263">
        <f>Fluxo_de_Caixa_Janeiro34591171012151619[[#This Row],[DEZEMBRO]]</f>
        <v>0</v>
      </c>
      <c r="O24" s="208">
        <f>Fluxo_de_Caixa_Janeiro31020818[[#This Row],[Janeiro]]</f>
        <v>0</v>
      </c>
      <c r="P24" s="138" t="str">
        <f t="shared" si="1"/>
        <v>0,00%</v>
      </c>
      <c r="Q24" s="66"/>
      <c r="R24" s="31"/>
    </row>
    <row r="25" spans="1:19" ht="15.75" thickBot="1" x14ac:dyDescent="0.3">
      <c r="B25" s="47" t="str">
        <f>Fluxo_de_Caixa_Janeiro[[#This Row],[Fluxo de Caixa 2026 CTR]]</f>
        <v>91.CARTÃO ENDERED 5099+4596+6933+8072 - ESCRITORIO</v>
      </c>
      <c r="C25" s="256">
        <f>Fluxo_de_Caixa_Janeiro[[#This Row],[Janeiro]]</f>
        <v>1682.34</v>
      </c>
      <c r="D25" s="262">
        <f>Fluxo_de_Caixa_Janeiro3[[#This Row],[Fevereiro]]</f>
        <v>1362.74</v>
      </c>
      <c r="E25" s="262">
        <f>Fluxo_de_Caixa_Janeiro34[[#This Row],[Março]]</f>
        <v>1948.05</v>
      </c>
      <c r="F25" s="262">
        <f>Fluxo_de_Caixa_Janeiro345[[#This Row],[ABRIL]]</f>
        <v>4229.6900000000005</v>
      </c>
      <c r="G25" s="262">
        <f>Fluxo_de_Caixa_Janeiro3459[[#This Row],[MAIO]]</f>
        <v>3055.0099999999998</v>
      </c>
      <c r="H25" s="263">
        <f>Fluxo_de_Caixa_Janeiro345911[[#This Row],[JUNHO]]</f>
        <v>4162.5600000000004</v>
      </c>
      <c r="I25" s="262">
        <f>Fluxo_de_Caixa_Janeiro3459117[[#This Row],[JULHO]]</f>
        <v>0</v>
      </c>
      <c r="J25" s="262">
        <f>Fluxo_de_Caixa_Janeiro345911710[[#This Row],[AGOSTO]]</f>
        <v>0</v>
      </c>
      <c r="K25" s="262">
        <f>Fluxo_de_Caixa_Janeiro34591171012[[#This Row],[SETEMBRO]]</f>
        <v>0</v>
      </c>
      <c r="L25" s="262">
        <f>Fluxo_de_Caixa_Janeiro3459117101215[[#This Row],[OUTUBRO]]</f>
        <v>0</v>
      </c>
      <c r="M25" s="262">
        <f>Fluxo_de_Caixa_Janeiro345911710121516[[#This Row],[NOVEMBRO]]</f>
        <v>0</v>
      </c>
      <c r="N25" s="263">
        <f>Fluxo_de_Caixa_Janeiro34591171012151619[[#This Row],[DEZEMBRO]]</f>
        <v>0</v>
      </c>
      <c r="O25" s="208">
        <f>Fluxo_de_Caixa_Janeiro31020818[[#This Row],[Janeiro]]</f>
        <v>1682.34</v>
      </c>
      <c r="P25" s="138">
        <f t="shared" si="1"/>
        <v>2.4956675837355707E-2</v>
      </c>
      <c r="Q25" s="66"/>
      <c r="R25" s="31"/>
    </row>
    <row r="26" spans="1:19" ht="15.75" hidden="1" thickBot="1" x14ac:dyDescent="0.3">
      <c r="B26" s="47">
        <f>Fluxo_de_Caixa_Janeiro[[#This Row],[Fluxo de Caixa 2026 CTR]]</f>
        <v>0</v>
      </c>
      <c r="C26" s="256">
        <f>Fluxo_de_Caixa_Janeiro[[#This Row],[Janeiro]]</f>
        <v>0</v>
      </c>
      <c r="D26" s="262">
        <f>Fluxo_de_Caixa_Janeiro3[[#This Row],[Fevereiro]]</f>
        <v>-150.01000000001295</v>
      </c>
      <c r="E26" s="262">
        <f>Fluxo_de_Caixa_Janeiro34[[#This Row],[Março]]</f>
        <v>0</v>
      </c>
      <c r="F26" s="262">
        <f>Fluxo_de_Caixa_Janeiro345[[#This Row],[ABRIL]]</f>
        <v>220.65999999997439</v>
      </c>
      <c r="G26" s="262">
        <f>Fluxo_de_Caixa_Janeiro3459[[#This Row],[MAIO]]</f>
        <v>0</v>
      </c>
      <c r="H26" s="263">
        <f>Fluxo_de_Caixa_Janeiro345911[[#This Row],[JUNHO]]</f>
        <v>0</v>
      </c>
      <c r="I26" s="262">
        <f>Fluxo_de_Caixa_Janeiro3459117[[#This Row],[JULHO]]</f>
        <v>0</v>
      </c>
      <c r="J26" s="262">
        <f>Fluxo_de_Caixa_Janeiro345911710[[#This Row],[AGOSTO]]</f>
        <v>0</v>
      </c>
      <c r="K26" s="262">
        <f>Fluxo_de_Caixa_Janeiro34591171012[[#This Row],[SETEMBRO]]</f>
        <v>0</v>
      </c>
      <c r="L26" s="262">
        <f>Fluxo_de_Caixa_Janeiro3459117101215[[#This Row],[OUTUBRO]]</f>
        <v>0</v>
      </c>
      <c r="M26" s="262">
        <f>Fluxo_de_Caixa_Janeiro345911710121516[[#This Row],[NOVEMBRO]]</f>
        <v>0</v>
      </c>
      <c r="N26" s="263">
        <f>Fluxo_de_Caixa_Janeiro34591171012151619[[#This Row],[DEZEMBRO]]</f>
        <v>0</v>
      </c>
      <c r="O26" s="209">
        <f>SUM(Fluxo_de_Caixa_Janeiro31020818[[#This Row],[Janeiro]:[Dezembro]])</f>
        <v>70.649999999961437</v>
      </c>
      <c r="P26" s="138">
        <f t="shared" si="1"/>
        <v>1.0480575554930743E-3</v>
      </c>
      <c r="Q26" s="66"/>
      <c r="R26" s="31"/>
    </row>
    <row r="27" spans="1:19" ht="27" thickBot="1" x14ac:dyDescent="0.45">
      <c r="B27" s="266" t="str">
        <f>Fluxo_de_Caixa_Janeiro[[#This Row],[Fluxo de Caixa 2026 CTR]]</f>
        <v>Total Receitas Operacionais / Vendas</v>
      </c>
      <c r="C27" s="37">
        <f>Fluxo_de_Caixa_Janeiro[[#This Row],[Janeiro]]</f>
        <v>749632.92999999993</v>
      </c>
      <c r="D27" s="83">
        <f>Fluxo_de_Caixa_Janeiro3[[#This Row],[Fevereiro]]</f>
        <v>1038589.0900000001</v>
      </c>
      <c r="E27" s="83">
        <f>Fluxo_de_Caixa_Janeiro34[[#This Row],[Março]]</f>
        <v>1087749.99</v>
      </c>
      <c r="F27" s="83">
        <f>Fluxo_de_Caixa_Janeiro345[[#This Row],[ABRIL]]</f>
        <v>1009247</v>
      </c>
      <c r="G27" s="83">
        <f>Fluxo_de_Caixa_Janeiro3459[[#This Row],[MAIO]]</f>
        <v>749225.37</v>
      </c>
      <c r="H27" s="121">
        <f>Fluxo_de_Caixa_Janeiro345911[[#This Row],[JUNHO]]</f>
        <v>0</v>
      </c>
      <c r="I27" s="83">
        <f>Fluxo_de_Caixa_Janeiro3459117[[#This Row],[JULHO]]</f>
        <v>0</v>
      </c>
      <c r="J27" s="83">
        <f>Fluxo_de_Caixa_Janeiro345911710[[#This Row],[AGOSTO]]</f>
        <v>0</v>
      </c>
      <c r="K27" s="83">
        <f>Fluxo_de_Caixa_Janeiro34591171012[[#This Row],[SETEMBRO]]</f>
        <v>0</v>
      </c>
      <c r="L27" s="83">
        <f>Fluxo_de_Caixa_Janeiro3459117101215[[#This Row],[OUTUBRO]]</f>
        <v>0</v>
      </c>
      <c r="M27" s="83">
        <f>Fluxo_de_Caixa_Janeiro345911710121516[[#This Row],[NOVEMBRO]]</f>
        <v>0</v>
      </c>
      <c r="N27" s="121">
        <f>Fluxo_de_Caixa_Janeiro34591171012151619[[#This Row],[DEZEMBRO]]</f>
        <v>0</v>
      </c>
      <c r="O27" s="211">
        <f>SUM(Fluxo_de_Caixa_Janeiro31020818[[#This Row],[Janeiro]:[Dezembro]])</f>
        <v>4634444.38</v>
      </c>
      <c r="P27" s="198">
        <f>IFERROR(O27/O332,"0,00%")</f>
        <v>0.84753576362215444</v>
      </c>
      <c r="Q27" s="198"/>
      <c r="R27" s="32" t="str">
        <f>IF(Fluxo_de_Caixa_Janeiro31020818[[#This Row],[% ACUMULADO  ANO 2026]]&gt;=Fluxo_de_Caixa_Janeiro31020818[[#This Row],[Coluna1]],"VERDADEIRO","FALSO")</f>
        <v>VERDADEIRO</v>
      </c>
    </row>
    <row r="28" spans="1:19" s="1" customFormat="1" ht="24" thickBot="1" x14ac:dyDescent="0.4">
      <c r="A28" s="11" t="s">
        <v>49</v>
      </c>
      <c r="B28" s="57" t="str">
        <f>Fluxo_de_Caixa_Janeiro[[#This Row],[Fluxo de Caixa 2026 CTR]]</f>
        <v>1.1. Receita com Vendas</v>
      </c>
      <c r="C28" s="44">
        <f>Fluxo_de_Caixa_Janeiro[[#This Row],[Janeiro]]</f>
        <v>749632.92999999993</v>
      </c>
      <c r="D28" s="85">
        <f>Fluxo_de_Caixa_Janeiro3[[#This Row],[Fevereiro]]</f>
        <v>1038589.0900000001</v>
      </c>
      <c r="E28" s="85">
        <f>Fluxo_de_Caixa_Janeiro34[[#This Row],[Março]]</f>
        <v>1087749.99</v>
      </c>
      <c r="F28" s="85">
        <f>Fluxo_de_Caixa_Janeiro345[[#This Row],[ABRIL]]</f>
        <v>1009247</v>
      </c>
      <c r="G28" s="85">
        <f>Fluxo_de_Caixa_Janeiro3459[[#This Row],[MAIO]]</f>
        <v>749225.37</v>
      </c>
      <c r="H28" s="122">
        <f>Fluxo_de_Caixa_Janeiro345911[[#This Row],[JUNHO]]</f>
        <v>0</v>
      </c>
      <c r="I28" s="85">
        <f>Fluxo_de_Caixa_Janeiro3459117[[#This Row],[JULHO]]</f>
        <v>0</v>
      </c>
      <c r="J28" s="85">
        <f>Fluxo_de_Caixa_Janeiro345911710[[#This Row],[AGOSTO]]</f>
        <v>0</v>
      </c>
      <c r="K28" s="85">
        <f>Fluxo_de_Caixa_Janeiro34591171012[[#This Row],[SETEMBRO]]</f>
        <v>0</v>
      </c>
      <c r="L28" s="85">
        <f>Fluxo_de_Caixa_Janeiro3459117101215[[#This Row],[OUTUBRO]]</f>
        <v>0</v>
      </c>
      <c r="M28" s="85">
        <f>Fluxo_de_Caixa_Janeiro345911710121516[[#This Row],[NOVEMBRO]]</f>
        <v>0</v>
      </c>
      <c r="N28" s="122">
        <f>Fluxo_de_Caixa_Janeiro34591171012151619[[#This Row],[DEZEMBRO]]</f>
        <v>0</v>
      </c>
      <c r="O28" s="212">
        <f>SUM(Fluxo_de_Caixa_Janeiro31020818[[#This Row],[Janeiro]:[Dezembro]])</f>
        <v>4634444.38</v>
      </c>
      <c r="P28" s="25">
        <f>SUM(P29:P47)</f>
        <v>0.84753576362215444</v>
      </c>
      <c r="Q28" s="25"/>
      <c r="R28" s="32" t="str">
        <f>IF(Fluxo_de_Caixa_Janeiro31020818[[#This Row],[% ACUMULADO  ANO 2026]]&gt;=Fluxo_de_Caixa_Janeiro31020818[[#This Row],[Coluna1]],"VERDADEIRO","FALSO")</f>
        <v>VERDADEIRO</v>
      </c>
      <c r="S28" s="496">
        <f>Fluxo_de_Caixa_Janeiro31020818[[#This Row],[Total ano]]/7</f>
        <v>662063.48285714281</v>
      </c>
    </row>
    <row r="29" spans="1:19" x14ac:dyDescent="0.25">
      <c r="B29" s="49" t="str">
        <f>Fluxo_de_Caixa_Janeiro[[#This Row],[Fluxo de Caixa 2026 CTR]]</f>
        <v xml:space="preserve">1.1.01. Receita em Dinheiro </v>
      </c>
      <c r="C29" s="39">
        <f>Fluxo_de_Caixa_Janeiro[[#This Row],[Janeiro]]</f>
        <v>2199.7799999999997</v>
      </c>
      <c r="D29" s="84">
        <f>Fluxo_de_Caixa_Janeiro3[[#This Row],[Fevereiro]]</f>
        <v>4660.3700000000008</v>
      </c>
      <c r="E29" s="84">
        <f>Fluxo_de_Caixa_Janeiro34[[#This Row],[Março]]</f>
        <v>2754.35</v>
      </c>
      <c r="F29" s="84">
        <f>Fluxo_de_Caixa_Janeiro345[[#This Row],[ABRIL]]</f>
        <v>3589.3999999999996</v>
      </c>
      <c r="G29" s="84">
        <f>Fluxo_de_Caixa_Janeiro3459[[#This Row],[MAIO]]</f>
        <v>7136.5300000000007</v>
      </c>
      <c r="H29" s="123">
        <f>Fluxo_de_Caixa_Janeiro345911[[#This Row],[JUNHO]]</f>
        <v>0</v>
      </c>
      <c r="I29" s="84">
        <f>Fluxo_de_Caixa_Janeiro3459117[[#This Row],[JULHO]]</f>
        <v>0</v>
      </c>
      <c r="J29" s="84">
        <f>Fluxo_de_Caixa_Janeiro345911710[[#This Row],[AGOSTO]]</f>
        <v>0</v>
      </c>
      <c r="K29" s="84">
        <f>Fluxo_de_Caixa_Janeiro34591171012[[#This Row],[SETEMBRO]]</f>
        <v>0</v>
      </c>
      <c r="L29" s="84">
        <f>Fluxo_de_Caixa_Janeiro3459117101215[[#This Row],[OUTUBRO]]</f>
        <v>0</v>
      </c>
      <c r="M29" s="84">
        <f>Fluxo_de_Caixa_Janeiro345911710121516[[#This Row],[NOVEMBRO]]</f>
        <v>0</v>
      </c>
      <c r="N29" s="123">
        <f>Fluxo_de_Caixa_Janeiro34591171012151619[[#This Row],[DEZEMBRO]]</f>
        <v>0</v>
      </c>
      <c r="O29" s="213">
        <f>SUM(Fluxo_de_Caixa_Janeiro31020818[[#This Row],[Janeiro]:[Dezembro]])</f>
        <v>20340.43</v>
      </c>
      <c r="P29" s="29">
        <f t="shared" ref="P29:P47" si="2">IF(O29=0,"0,00%",O29/$O$332)</f>
        <v>3.7198076962254925E-3</v>
      </c>
      <c r="Q29" s="29"/>
      <c r="R29" s="32" t="str">
        <f>IF(Fluxo_de_Caixa_Janeiro31020818[[#This Row],[% ACUMULADO  ANO 2026]]&gt;=Fluxo_de_Caixa_Janeiro31020818[[#This Row],[Coluna1]],"VERDADEIRO","FALSO")</f>
        <v>VERDADEIRO</v>
      </c>
    </row>
    <row r="30" spans="1:19" x14ac:dyDescent="0.25">
      <c r="B30" s="50" t="str">
        <f>Fluxo_de_Caixa_Janeiro[[#This Row],[Fluxo de Caixa 2026 CTR]]</f>
        <v>1.1.01. Receita em Cartão (Crédito e Débito)</v>
      </c>
      <c r="C30" s="40">
        <f>Fluxo_de_Caixa_Janeiro[[#This Row],[Janeiro]]</f>
        <v>328505.71999999997</v>
      </c>
      <c r="D30" s="64">
        <f>Fluxo_de_Caixa_Janeiro3[[#This Row],[Fevereiro]]</f>
        <v>221053.51</v>
      </c>
      <c r="E30" s="64">
        <f>Fluxo_de_Caixa_Janeiro34[[#This Row],[Março]]</f>
        <v>110371.16999999998</v>
      </c>
      <c r="F30" s="64">
        <f>Fluxo_de_Caixa_Janeiro345[[#This Row],[ABRIL]]</f>
        <v>160565.41</v>
      </c>
      <c r="G30" s="64">
        <f>Fluxo_de_Caixa_Janeiro3459[[#This Row],[MAIO]]</f>
        <v>106265.12</v>
      </c>
      <c r="H30" s="124">
        <f>Fluxo_de_Caixa_Janeiro345911[[#This Row],[JUNHO]]</f>
        <v>0</v>
      </c>
      <c r="I30" s="64">
        <f>Fluxo_de_Caixa_Janeiro3459117[[#This Row],[JULHO]]</f>
        <v>0</v>
      </c>
      <c r="J30" s="64">
        <f>Fluxo_de_Caixa_Janeiro345911710[[#This Row],[AGOSTO]]</f>
        <v>0</v>
      </c>
      <c r="K30" s="64">
        <f>Fluxo_de_Caixa_Janeiro34591171012[[#This Row],[SETEMBRO]]</f>
        <v>0</v>
      </c>
      <c r="L30" s="64">
        <f>Fluxo_de_Caixa_Janeiro3459117101215[[#This Row],[OUTUBRO]]</f>
        <v>0</v>
      </c>
      <c r="M30" s="64">
        <f>Fluxo_de_Caixa_Janeiro345911710121516[[#This Row],[NOVEMBRO]]</f>
        <v>0</v>
      </c>
      <c r="N30" s="124">
        <f>Fluxo_de_Caixa_Janeiro34591171012151619[[#This Row],[DEZEMBRO]]</f>
        <v>0</v>
      </c>
      <c r="O30" s="214">
        <f>SUM(Fluxo_de_Caixa_Janeiro31020818[[#This Row],[Janeiro]:[Dezembro]])</f>
        <v>926760.92999999993</v>
      </c>
      <c r="P30" s="140">
        <f t="shared" si="2"/>
        <v>0.16948375427535675</v>
      </c>
      <c r="Q30" s="140"/>
      <c r="R30" s="32" t="str">
        <f>IF(Fluxo_de_Caixa_Janeiro31020818[[#This Row],[% ACUMULADO  ANO 2026]]&gt;=Fluxo_de_Caixa_Janeiro31020818[[#This Row],[Coluna1]],"VERDADEIRO","FALSO")</f>
        <v>VERDADEIRO</v>
      </c>
    </row>
    <row r="31" spans="1:19" x14ac:dyDescent="0.25">
      <c r="B31" s="50" t="str">
        <f>Fluxo_de_Caixa_Janeiro[[#This Row],[Fluxo de Caixa 2026 CTR]]</f>
        <v>1.1.01. Receita de Cheque A Vista</v>
      </c>
      <c r="C31" s="35">
        <f>Fluxo_de_Caixa_Janeiro[[#This Row],[Janeiro]]</f>
        <v>15000</v>
      </c>
      <c r="D31" s="62">
        <f>Fluxo_de_Caixa_Janeiro3[[#This Row],[Fevereiro]]</f>
        <v>26907.75</v>
      </c>
      <c r="E31" s="62">
        <f>Fluxo_de_Caixa_Janeiro34[[#This Row],[Março]]</f>
        <v>0</v>
      </c>
      <c r="F31" s="62">
        <f>Fluxo_de_Caixa_Janeiro345[[#This Row],[ABRIL]]</f>
        <v>19225.740000000002</v>
      </c>
      <c r="G31" s="62">
        <f>Fluxo_de_Caixa_Janeiro3459[[#This Row],[MAIO]]</f>
        <v>0</v>
      </c>
      <c r="H31" s="119">
        <f>Fluxo_de_Caixa_Janeiro345911[[#This Row],[JUNHO]]</f>
        <v>0</v>
      </c>
      <c r="I31" s="62">
        <f>Fluxo_de_Caixa_Janeiro3459117[[#This Row],[JULHO]]</f>
        <v>0</v>
      </c>
      <c r="J31" s="62">
        <f>Fluxo_de_Caixa_Janeiro345911710[[#This Row],[AGOSTO]]</f>
        <v>0</v>
      </c>
      <c r="K31" s="62">
        <f>Fluxo_de_Caixa_Janeiro34591171012[[#This Row],[SETEMBRO]]</f>
        <v>0</v>
      </c>
      <c r="L31" s="62">
        <f>Fluxo_de_Caixa_Janeiro3459117101215[[#This Row],[OUTUBRO]]</f>
        <v>0</v>
      </c>
      <c r="M31" s="62">
        <f>Fluxo_de_Caixa_Janeiro345911710121516[[#This Row],[NOVEMBRO]]</f>
        <v>0</v>
      </c>
      <c r="N31" s="119">
        <f>Fluxo_de_Caixa_Janeiro34591171012151619[[#This Row],[DEZEMBRO]]</f>
        <v>0</v>
      </c>
      <c r="O31" s="214">
        <f>SUM(Fluxo_de_Caixa_Janeiro31020818[[#This Row],[Janeiro]:[Dezembro]])</f>
        <v>61133.490000000005</v>
      </c>
      <c r="P31" s="140">
        <f t="shared" si="2"/>
        <v>1.1179941948086849E-2</v>
      </c>
      <c r="Q31" s="140"/>
      <c r="R31" s="32" t="str">
        <f>IF(Fluxo_de_Caixa_Janeiro31020818[[#This Row],[% ACUMULADO  ANO 2026]]&gt;=Fluxo_de_Caixa_Janeiro31020818[[#This Row],[Coluna1]],"VERDADEIRO","FALSO")</f>
        <v>VERDADEIRO</v>
      </c>
    </row>
    <row r="32" spans="1:19" x14ac:dyDescent="0.25">
      <c r="B32" s="50" t="str">
        <f>Fluxo_de_Caixa_Janeiro[[#This Row],[Fluxo de Caixa 2026 CTR]]</f>
        <v xml:space="preserve">1.1.01. Receita de Cheque Pré </v>
      </c>
      <c r="C32" s="35">
        <f>Fluxo_de_Caixa_Janeiro[[#This Row],[Janeiro]]</f>
        <v>0</v>
      </c>
      <c r="D32" s="62">
        <f>Fluxo_de_Caixa_Janeiro3[[#This Row],[Fevereiro]]</f>
        <v>0</v>
      </c>
      <c r="E32" s="62">
        <f>Fluxo_de_Caixa_Janeiro34[[#This Row],[Março]]</f>
        <v>0</v>
      </c>
      <c r="F32" s="62">
        <f>Fluxo_de_Caixa_Janeiro345[[#This Row],[ABRIL]]</f>
        <v>0</v>
      </c>
      <c r="G32" s="62">
        <f>Fluxo_de_Caixa_Janeiro3459[[#This Row],[MAIO]]</f>
        <v>0</v>
      </c>
      <c r="H32" s="119">
        <f>Fluxo_de_Caixa_Janeiro345911[[#This Row],[JUNHO]]</f>
        <v>0</v>
      </c>
      <c r="I32" s="62">
        <f>Fluxo_de_Caixa_Janeiro3459117[[#This Row],[JULHO]]</f>
        <v>0</v>
      </c>
      <c r="J32" s="62">
        <f>Fluxo_de_Caixa_Janeiro345911710[[#This Row],[AGOSTO]]</f>
        <v>0</v>
      </c>
      <c r="K32" s="62">
        <f>Fluxo_de_Caixa_Janeiro34591171012[[#This Row],[SETEMBRO]]</f>
        <v>0</v>
      </c>
      <c r="L32" s="62">
        <f>Fluxo_de_Caixa_Janeiro3459117101215[[#This Row],[OUTUBRO]]</f>
        <v>0</v>
      </c>
      <c r="M32" s="62">
        <f>Fluxo_de_Caixa_Janeiro345911710121516[[#This Row],[NOVEMBRO]]</f>
        <v>0</v>
      </c>
      <c r="N32" s="119">
        <f>Fluxo_de_Caixa_Janeiro34591171012151619[[#This Row],[DEZEMBRO]]</f>
        <v>0</v>
      </c>
      <c r="O32" s="214">
        <f>SUM(Fluxo_de_Caixa_Janeiro31020818[[#This Row],[Janeiro]:[Dezembro]])</f>
        <v>0</v>
      </c>
      <c r="P32" s="140" t="str">
        <f t="shared" si="2"/>
        <v>0,00%</v>
      </c>
      <c r="Q32" s="140"/>
      <c r="R32" s="32" t="str">
        <f>IF(Fluxo_de_Caixa_Janeiro31020818[[#This Row],[% ACUMULADO  ANO 2026]]&gt;=Fluxo_de_Caixa_Janeiro31020818[[#This Row],[Coluna1]],"VERDADEIRO","FALSO")</f>
        <v>VERDADEIRO</v>
      </c>
    </row>
    <row r="33" spans="1:20" x14ac:dyDescent="0.25">
      <c r="B33" s="50" t="str">
        <f>Fluxo_de_Caixa_Janeiro[[#This Row],[Fluxo de Caixa 2026 CTR]]</f>
        <v>1.1.01. Recebimento de Carteira (Notinha)</v>
      </c>
      <c r="C33" s="35">
        <f>Fluxo_de_Caixa_Janeiro[[#This Row],[Janeiro]]</f>
        <v>0</v>
      </c>
      <c r="D33" s="62">
        <f>Fluxo_de_Caixa_Janeiro3[[#This Row],[Fevereiro]]</f>
        <v>0</v>
      </c>
      <c r="E33" s="62">
        <f>Fluxo_de_Caixa_Janeiro34[[#This Row],[Março]]</f>
        <v>190040.35</v>
      </c>
      <c r="F33" s="62">
        <f>Fluxo_de_Caixa_Janeiro345[[#This Row],[ABRIL]]</f>
        <v>30464</v>
      </c>
      <c r="G33" s="62">
        <f>Fluxo_de_Caixa_Janeiro3459[[#This Row],[MAIO]]</f>
        <v>0</v>
      </c>
      <c r="H33" s="119">
        <f>Fluxo_de_Caixa_Janeiro345911[[#This Row],[JUNHO]]</f>
        <v>0</v>
      </c>
      <c r="I33" s="62">
        <f>Fluxo_de_Caixa_Janeiro3459117[[#This Row],[JULHO]]</f>
        <v>0</v>
      </c>
      <c r="J33" s="62">
        <f>Fluxo_de_Caixa_Janeiro345911710[[#This Row],[AGOSTO]]</f>
        <v>0</v>
      </c>
      <c r="K33" s="62">
        <f>Fluxo_de_Caixa_Janeiro34591171012[[#This Row],[SETEMBRO]]</f>
        <v>0</v>
      </c>
      <c r="L33" s="62">
        <f>Fluxo_de_Caixa_Janeiro3459117101215[[#This Row],[OUTUBRO]]</f>
        <v>0</v>
      </c>
      <c r="M33" s="62">
        <f>Fluxo_de_Caixa_Janeiro345911710121516[[#This Row],[NOVEMBRO]]</f>
        <v>0</v>
      </c>
      <c r="N33" s="119">
        <f>Fluxo_de_Caixa_Janeiro34591171012151619[[#This Row],[DEZEMBRO]]</f>
        <v>0</v>
      </c>
      <c r="O33" s="214">
        <f>SUM(Fluxo_de_Caixa_Janeiro31020818[[#This Row],[Janeiro]:[Dezembro]])</f>
        <v>220504.35</v>
      </c>
      <c r="P33" s="140">
        <f t="shared" si="2"/>
        <v>4.0325291952097359E-2</v>
      </c>
      <c r="Q33" s="140"/>
      <c r="R33" s="32" t="str">
        <f>IF(Fluxo_de_Caixa_Janeiro31020818[[#This Row],[% ACUMULADO  ANO 2026]]&gt;=Fluxo_de_Caixa_Janeiro31020818[[#This Row],[Coluna1]],"VERDADEIRO","FALSO")</f>
        <v>VERDADEIRO</v>
      </c>
    </row>
    <row r="34" spans="1:20" x14ac:dyDescent="0.25">
      <c r="B34" s="50" t="str">
        <f>Fluxo_de_Caixa_Janeiro[[#This Row],[Fluxo de Caixa 2026 CTR]]</f>
        <v>1.1.01. Recebimento de Boletos</v>
      </c>
      <c r="C34" s="35">
        <f>Fluxo_de_Caixa_Janeiro[[#This Row],[Janeiro]]</f>
        <v>144411.43</v>
      </c>
      <c r="D34" s="62">
        <f>Fluxo_de_Caixa_Janeiro3[[#This Row],[Fevereiro]]</f>
        <v>317162.15000000002</v>
      </c>
      <c r="E34" s="62">
        <f>Fluxo_de_Caixa_Janeiro34[[#This Row],[Março]]</f>
        <v>395244.86</v>
      </c>
      <c r="F34" s="62">
        <f>Fluxo_de_Caixa_Janeiro345[[#This Row],[ABRIL]]</f>
        <v>353624.95</v>
      </c>
      <c r="G34" s="62">
        <f>Fluxo_de_Caixa_Janeiro3459[[#This Row],[MAIO]]</f>
        <v>98986.010000000009</v>
      </c>
      <c r="H34" s="119">
        <f>Fluxo_de_Caixa_Janeiro345911[[#This Row],[JUNHO]]</f>
        <v>0</v>
      </c>
      <c r="I34" s="62">
        <f>Fluxo_de_Caixa_Janeiro3459117[[#This Row],[JULHO]]</f>
        <v>0</v>
      </c>
      <c r="J34" s="62">
        <f>Fluxo_de_Caixa_Janeiro345911710[[#This Row],[AGOSTO]]</f>
        <v>0</v>
      </c>
      <c r="K34" s="62">
        <f>Fluxo_de_Caixa_Janeiro34591171012[[#This Row],[SETEMBRO]]</f>
        <v>0</v>
      </c>
      <c r="L34" s="62">
        <f>Fluxo_de_Caixa_Janeiro3459117101215[[#This Row],[OUTUBRO]]</f>
        <v>0</v>
      </c>
      <c r="M34" s="62">
        <f>Fluxo_de_Caixa_Janeiro345911710121516[[#This Row],[NOVEMBRO]]</f>
        <v>0</v>
      </c>
      <c r="N34" s="119">
        <f>Fluxo_de_Caixa_Janeiro34591171012151619[[#This Row],[DEZEMBRO]]</f>
        <v>0</v>
      </c>
      <c r="O34" s="214">
        <f>SUM(Fluxo_de_Caixa_Janeiro31020818[[#This Row],[Janeiro]:[Dezembro]])</f>
        <v>1309429.3999999999</v>
      </c>
      <c r="P34" s="140">
        <f t="shared" si="2"/>
        <v>0.23946522073446472</v>
      </c>
      <c r="Q34" s="140"/>
      <c r="R34" s="32" t="str">
        <f>IF(Fluxo_de_Caixa_Janeiro31020818[[#This Row],[% ACUMULADO  ANO 2026]]&gt;=Fluxo_de_Caixa_Janeiro31020818[[#This Row],[Coluna1]],"VERDADEIRO","FALSO")</f>
        <v>VERDADEIRO</v>
      </c>
      <c r="T34" s="287"/>
    </row>
    <row r="35" spans="1:20" x14ac:dyDescent="0.25">
      <c r="B35" s="50" t="str">
        <f>Fluxo_de_Caixa_Janeiro[[#This Row],[Fluxo de Caixa 2026 CTR]]</f>
        <v>1.1.01. Recebimento em Depósito e Dep. PIX</v>
      </c>
      <c r="C35" s="35">
        <f>Fluxo_de_Caixa_Janeiro[[#This Row],[Janeiro]]</f>
        <v>259516</v>
      </c>
      <c r="D35" s="62">
        <f>Fluxo_de_Caixa_Janeiro3[[#This Row],[Fevereiro]]</f>
        <v>468805.31000000006</v>
      </c>
      <c r="E35" s="62">
        <f>Fluxo_de_Caixa_Janeiro34[[#This Row],[Março]]</f>
        <v>389339.26</v>
      </c>
      <c r="F35" s="62">
        <f>Fluxo_de_Caixa_Janeiro345[[#This Row],[ABRIL]]</f>
        <v>441777.5</v>
      </c>
      <c r="G35" s="62">
        <f>Fluxo_de_Caixa_Janeiro3459[[#This Row],[MAIO]]</f>
        <v>536837.71</v>
      </c>
      <c r="H35" s="119">
        <f>Fluxo_de_Caixa_Janeiro345911[[#This Row],[JUNHO]]</f>
        <v>0</v>
      </c>
      <c r="I35" s="62">
        <f>Fluxo_de_Caixa_Janeiro3459117[[#This Row],[JULHO]]</f>
        <v>0</v>
      </c>
      <c r="J35" s="62">
        <f>Fluxo_de_Caixa_Janeiro345911710[[#This Row],[AGOSTO]]</f>
        <v>0</v>
      </c>
      <c r="K35" s="62">
        <f>Fluxo_de_Caixa_Janeiro34591171012[[#This Row],[SETEMBRO]]</f>
        <v>0</v>
      </c>
      <c r="L35" s="62">
        <f>Fluxo_de_Caixa_Janeiro3459117101215[[#This Row],[OUTUBRO]]</f>
        <v>0</v>
      </c>
      <c r="M35" s="62">
        <f>Fluxo_de_Caixa_Janeiro345911710121516[[#This Row],[NOVEMBRO]]</f>
        <v>0</v>
      </c>
      <c r="N35" s="119">
        <f>Fluxo_de_Caixa_Janeiro34591171012151619[[#This Row],[DEZEMBRO]]</f>
        <v>0</v>
      </c>
      <c r="O35" s="214">
        <f>SUM(Fluxo_de_Caixa_Janeiro31020818[[#This Row],[Janeiro]:[Dezembro]])</f>
        <v>2096275.78</v>
      </c>
      <c r="P35" s="140">
        <f t="shared" si="2"/>
        <v>0.38336174701592329</v>
      </c>
      <c r="Q35" s="140"/>
      <c r="R35" s="32" t="str">
        <f>IF(Fluxo_de_Caixa_Janeiro31020818[[#This Row],[% ACUMULADO  ANO 2026]]&gt;=Fluxo_de_Caixa_Janeiro31020818[[#This Row],[Coluna1]],"VERDADEIRO","FALSO")</f>
        <v>VERDADEIRO</v>
      </c>
    </row>
    <row r="36" spans="1:20" ht="15.75" thickBot="1" x14ac:dyDescent="0.3">
      <c r="B36" s="51" t="str">
        <f>Fluxo_de_Caixa_Janeiro[[#This Row],[Fluxo de Caixa 2026 CTR]]</f>
        <v>1.1.02. Recebimento Cheque Devolvido</v>
      </c>
      <c r="C36" s="35">
        <f>Fluxo_de_Caixa_Janeiro[[#This Row],[Janeiro]]</f>
        <v>0</v>
      </c>
      <c r="D36" s="62">
        <f>Fluxo_de_Caixa_Janeiro3[[#This Row],[Fevereiro]]</f>
        <v>0</v>
      </c>
      <c r="E36" s="62">
        <f>Fluxo_de_Caixa_Janeiro34[[#This Row],[Março]]</f>
        <v>0</v>
      </c>
      <c r="F36" s="62">
        <f>Fluxo_de_Caixa_Janeiro345[[#This Row],[ABRIL]]</f>
        <v>0</v>
      </c>
      <c r="G36" s="62">
        <f>Fluxo_de_Caixa_Janeiro3459[[#This Row],[MAIO]]</f>
        <v>0</v>
      </c>
      <c r="H36" s="62">
        <f>Fluxo_de_Caixa_Janeiro345911[[#This Row],[JUNHO]]</f>
        <v>0</v>
      </c>
      <c r="I36" s="35">
        <f>Fluxo_de_Caixa_Janeiro3459117[[#This Row],[JULHO]]</f>
        <v>0</v>
      </c>
      <c r="J36" s="62">
        <f>Fluxo_de_Caixa_Janeiro345911710[[#This Row],[AGOSTO]]</f>
        <v>0</v>
      </c>
      <c r="K36" s="62">
        <f>Fluxo_de_Caixa_Janeiro34591171012[[#This Row],[SETEMBRO]]</f>
        <v>0</v>
      </c>
      <c r="L36" s="62">
        <f>Fluxo_de_Caixa_Janeiro3459117101215[[#This Row],[OUTUBRO]]</f>
        <v>0</v>
      </c>
      <c r="M36" s="62">
        <f>Fluxo_de_Caixa_Janeiro345911710121516[[#This Row],[NOVEMBRO]]</f>
        <v>0</v>
      </c>
      <c r="N36" s="119">
        <f>Fluxo_de_Caixa_Janeiro34591171012151619[[#This Row],[DEZEMBRO]]</f>
        <v>0</v>
      </c>
      <c r="O36" s="214">
        <f>SUM(Fluxo_de_Caixa_Janeiro31020818[[#This Row],[Janeiro]:[Dezembro]])</f>
        <v>0</v>
      </c>
      <c r="P36" s="140" t="str">
        <f t="shared" si="2"/>
        <v>0,00%</v>
      </c>
      <c r="Q36" s="140"/>
      <c r="R36" s="32" t="str">
        <f>IF(Fluxo_de_Caixa_Janeiro31020818[[#This Row],[% ACUMULADO  ANO 2026]]&gt;=Fluxo_de_Caixa_Janeiro31020818[[#This Row],[Coluna1]],"VERDADEIRO","FALSO")</f>
        <v>VERDADEIRO</v>
      </c>
    </row>
    <row r="37" spans="1:20" hidden="1" x14ac:dyDescent="0.25">
      <c r="B37" s="365">
        <f>Fluxo_de_Caixa_Janeiro[[#This Row],[Fluxo de Caixa 2026 CTR]]</f>
        <v>0</v>
      </c>
      <c r="C37" s="35">
        <f>Fluxo_de_Caixa_Janeiro[[#This Row],[Janeiro]]</f>
        <v>0</v>
      </c>
      <c r="D37" s="62">
        <f>Fluxo_de_Caixa_Janeiro3[[#This Row],[Fevereiro]]</f>
        <v>0</v>
      </c>
      <c r="E37" s="62">
        <f>Fluxo_de_Caixa_Janeiro34[[#This Row],[Março]]</f>
        <v>0</v>
      </c>
      <c r="F37" s="62">
        <f>Fluxo_de_Caixa_Janeiro345[[#This Row],[ABRIL]]</f>
        <v>0</v>
      </c>
      <c r="G37" s="62">
        <f>Fluxo_de_Caixa_Janeiro3459[[#This Row],[MAIO]]</f>
        <v>0</v>
      </c>
      <c r="H37" s="62">
        <f>Fluxo_de_Caixa_Janeiro345911[[#This Row],[JUNHO]]</f>
        <v>0</v>
      </c>
      <c r="I37" s="35">
        <f>Fluxo_de_Caixa_Janeiro3459117[[#This Row],[JULHO]]</f>
        <v>0</v>
      </c>
      <c r="J37" s="62">
        <f>Fluxo_de_Caixa_Janeiro345911710[[#This Row],[AGOSTO]]</f>
        <v>0</v>
      </c>
      <c r="K37" s="62">
        <f>Fluxo_de_Caixa_Janeiro34591171012[[#This Row],[SETEMBRO]]</f>
        <v>0</v>
      </c>
      <c r="L37" s="62">
        <f>Fluxo_de_Caixa_Janeiro3459117101215[[#This Row],[OUTUBRO]]</f>
        <v>0</v>
      </c>
      <c r="M37" s="62">
        <f>Fluxo_de_Caixa_Janeiro345911710121516[[#This Row],[NOVEMBRO]]</f>
        <v>0</v>
      </c>
      <c r="N37" s="119">
        <f>Fluxo_de_Caixa_Janeiro34591171012151619[[#This Row],[DEZEMBRO]]</f>
        <v>0</v>
      </c>
      <c r="O37" s="214">
        <f>SUM(Fluxo_de_Caixa_Janeiro31020818[[#This Row],[Janeiro]:[Dezembro]])</f>
        <v>0</v>
      </c>
      <c r="P37" s="140" t="str">
        <f t="shared" si="2"/>
        <v>0,00%</v>
      </c>
      <c r="Q37" s="140"/>
      <c r="R37" s="32" t="str">
        <f>IF(Fluxo_de_Caixa_Janeiro31020818[[#This Row],[% ACUMULADO  ANO 2026]]&gt;=Fluxo_de_Caixa_Janeiro31020818[[#This Row],[Coluna1]],"VERDADEIRO","FALSO")</f>
        <v>VERDADEIRO</v>
      </c>
    </row>
    <row r="38" spans="1:20" hidden="1" x14ac:dyDescent="0.25">
      <c r="B38" s="362">
        <f>Fluxo_de_Caixa_Janeiro[[#This Row],[Fluxo de Caixa 2026 CTR]]</f>
        <v>0</v>
      </c>
      <c r="C38" s="357">
        <f>Fluxo_de_Caixa_Janeiro[[#This Row],[Janeiro]]</f>
        <v>0</v>
      </c>
      <c r="D38" s="306">
        <f>Fluxo_de_Caixa_Janeiro3[[#This Row],[Fevereiro]]</f>
        <v>0</v>
      </c>
      <c r="E38" s="306">
        <f>Fluxo_de_Caixa_Janeiro34[[#This Row],[Março]]</f>
        <v>0</v>
      </c>
      <c r="F38" s="306">
        <f>Fluxo_de_Caixa_Janeiro345[[#This Row],[ABRIL]]</f>
        <v>0</v>
      </c>
      <c r="G38" s="306">
        <f>Fluxo_de_Caixa_Janeiro3459[[#This Row],[MAIO]]</f>
        <v>0</v>
      </c>
      <c r="H38" s="306">
        <f>Fluxo_de_Caixa_Janeiro345911[[#This Row],[JUNHO]]</f>
        <v>0</v>
      </c>
      <c r="I38" s="357">
        <f>Fluxo_de_Caixa_Janeiro3459117[[#This Row],[JULHO]]</f>
        <v>0</v>
      </c>
      <c r="J38" s="306">
        <f>Fluxo_de_Caixa_Janeiro345911710[[#This Row],[AGOSTO]]</f>
        <v>0</v>
      </c>
      <c r="K38" s="306">
        <f>Fluxo_de_Caixa_Janeiro34591171012[[#This Row],[SETEMBRO]]</f>
        <v>0</v>
      </c>
      <c r="L38" s="306">
        <f>Fluxo_de_Caixa_Janeiro3459117101215[[#This Row],[OUTUBRO]]</f>
        <v>0</v>
      </c>
      <c r="M38" s="306">
        <f>Fluxo_de_Caixa_Janeiro345911710121516[[#This Row],[NOVEMBRO]]</f>
        <v>0</v>
      </c>
      <c r="N38" s="360">
        <f>Fluxo_de_Caixa_Janeiro34591171012151619[[#This Row],[DEZEMBRO]]</f>
        <v>0</v>
      </c>
      <c r="O38" s="394">
        <f>SUM(Fluxo_de_Caixa_Janeiro31020818[[#This Row],[Janeiro]:[Dezembro]])</f>
        <v>0</v>
      </c>
      <c r="P38" s="140" t="str">
        <f t="shared" si="2"/>
        <v>0,00%</v>
      </c>
      <c r="Q38" s="140"/>
      <c r="R38" s="32" t="str">
        <f>IF(Fluxo_de_Caixa_Janeiro31020818[[#This Row],[% ACUMULADO  ANO 2026]]&gt;=Fluxo_de_Caixa_Janeiro31020818[[#This Row],[Coluna1]],"VERDADEIRO","FALSO")</f>
        <v>VERDADEIRO</v>
      </c>
    </row>
    <row r="39" spans="1:20" hidden="1" x14ac:dyDescent="0.25">
      <c r="B39" s="364">
        <f>Fluxo_de_Caixa_Janeiro[[#This Row],[Fluxo de Caixa 2026 CTR]]</f>
        <v>0</v>
      </c>
      <c r="C39" s="357">
        <f>Fluxo_de_Caixa_Janeiro[[#This Row],[Janeiro]]</f>
        <v>0</v>
      </c>
      <c r="D39" s="306">
        <f>Fluxo_de_Caixa_Janeiro3[[#This Row],[Fevereiro]]</f>
        <v>0</v>
      </c>
      <c r="E39" s="306">
        <f>Fluxo_de_Caixa_Janeiro34[[#This Row],[Março]]</f>
        <v>0</v>
      </c>
      <c r="F39" s="306">
        <f>Fluxo_de_Caixa_Janeiro345[[#This Row],[ABRIL]]</f>
        <v>0</v>
      </c>
      <c r="G39" s="306">
        <f>Fluxo_de_Caixa_Janeiro3459[[#This Row],[MAIO]]</f>
        <v>0</v>
      </c>
      <c r="H39" s="306">
        <f>Fluxo_de_Caixa_Janeiro345911[[#This Row],[JUNHO]]</f>
        <v>0</v>
      </c>
      <c r="I39" s="357">
        <f>Fluxo_de_Caixa_Janeiro3459117[[#This Row],[JULHO]]</f>
        <v>0</v>
      </c>
      <c r="J39" s="306">
        <f>Fluxo_de_Caixa_Janeiro345911710[[#This Row],[AGOSTO]]</f>
        <v>0</v>
      </c>
      <c r="K39" s="306">
        <f>Fluxo_de_Caixa_Janeiro34591171012[[#This Row],[SETEMBRO]]</f>
        <v>0</v>
      </c>
      <c r="L39" s="306">
        <f>Fluxo_de_Caixa_Janeiro3459117101215[[#This Row],[OUTUBRO]]</f>
        <v>0</v>
      </c>
      <c r="M39" s="306">
        <f>Fluxo_de_Caixa_Janeiro345911710121516[[#This Row],[NOVEMBRO]]</f>
        <v>0</v>
      </c>
      <c r="N39" s="360">
        <f>Fluxo_de_Caixa_Janeiro34591171012151619[[#This Row],[DEZEMBRO]]</f>
        <v>0</v>
      </c>
      <c r="O39" s="394">
        <f>SUM(Fluxo_de_Caixa_Janeiro31020818[[#This Row],[Janeiro]:[Dezembro]])</f>
        <v>0</v>
      </c>
      <c r="P39" s="140" t="str">
        <f t="shared" si="2"/>
        <v>0,00%</v>
      </c>
      <c r="Q39" s="140"/>
      <c r="R39" s="32" t="str">
        <f>IF(Fluxo_de_Caixa_Janeiro31020818[[#This Row],[% ACUMULADO  ANO 2026]]&gt;=Fluxo_de_Caixa_Janeiro31020818[[#This Row],[Coluna1]],"VERDADEIRO","FALSO")</f>
        <v>VERDADEIRO</v>
      </c>
    </row>
    <row r="40" spans="1:20" hidden="1" x14ac:dyDescent="0.25">
      <c r="B40" s="362">
        <f>Fluxo_de_Caixa_Janeiro[[#This Row],[Fluxo de Caixa 2026 CTR]]</f>
        <v>0</v>
      </c>
      <c r="C40" s="358">
        <f>Fluxo_de_Caixa_Janeiro[[#This Row],[Janeiro]]</f>
        <v>0</v>
      </c>
      <c r="D40" s="359">
        <f>Fluxo_de_Caixa_Janeiro3[[#This Row],[Fevereiro]]</f>
        <v>0</v>
      </c>
      <c r="E40" s="359">
        <f>Fluxo_de_Caixa_Janeiro34[[#This Row],[Março]]</f>
        <v>0</v>
      </c>
      <c r="F40" s="359">
        <f>Fluxo_de_Caixa_Janeiro345[[#This Row],[ABRIL]]</f>
        <v>0</v>
      </c>
      <c r="G40" s="359">
        <f>Fluxo_de_Caixa_Janeiro3459[[#This Row],[MAIO]]</f>
        <v>0</v>
      </c>
      <c r="H40" s="359">
        <f>Fluxo_de_Caixa_Janeiro345911[[#This Row],[JUNHO]]</f>
        <v>0</v>
      </c>
      <c r="I40" s="358">
        <f>Fluxo_de_Caixa_Janeiro3459117[[#This Row],[JULHO]]</f>
        <v>0</v>
      </c>
      <c r="J40" s="359">
        <f>Fluxo_de_Caixa_Janeiro345911710[[#This Row],[AGOSTO]]</f>
        <v>0</v>
      </c>
      <c r="K40" s="359">
        <f>Fluxo_de_Caixa_Janeiro34591171012[[#This Row],[SETEMBRO]]</f>
        <v>0</v>
      </c>
      <c r="L40" s="359">
        <f>Fluxo_de_Caixa_Janeiro3459117101215[[#This Row],[OUTUBRO]]</f>
        <v>0</v>
      </c>
      <c r="M40" s="359">
        <f>Fluxo_de_Caixa_Janeiro345911710121516[[#This Row],[NOVEMBRO]]</f>
        <v>0</v>
      </c>
      <c r="N40" s="361">
        <f>Fluxo_de_Caixa_Janeiro34591171012151619[[#This Row],[DEZEMBRO]]</f>
        <v>0</v>
      </c>
      <c r="O40" s="394">
        <f>SUM(Fluxo_de_Caixa_Janeiro31020818[[#This Row],[Janeiro]:[Dezembro]])</f>
        <v>0</v>
      </c>
      <c r="P40" s="140" t="str">
        <f t="shared" si="2"/>
        <v>0,00%</v>
      </c>
      <c r="Q40" s="140"/>
      <c r="R40" s="32" t="str">
        <f>IF(Fluxo_de_Caixa_Janeiro31020818[[#This Row],[% ACUMULADO  ANO 2026]]&gt;=Fluxo_de_Caixa_Janeiro31020818[[#This Row],[Coluna1]],"VERDADEIRO","FALSO")</f>
        <v>VERDADEIRO</v>
      </c>
    </row>
    <row r="41" spans="1:20" hidden="1" x14ac:dyDescent="0.25">
      <c r="B41" s="363">
        <f>Fluxo_de_Caixa_Janeiro[[#This Row],[Fluxo de Caixa 2026 CTR]]</f>
        <v>0</v>
      </c>
      <c r="C41" s="358">
        <f>Fluxo_de_Caixa_Janeiro[[#This Row],[Janeiro]]</f>
        <v>0</v>
      </c>
      <c r="D41" s="359">
        <f>Fluxo_de_Caixa_Janeiro3[[#This Row],[Fevereiro]]</f>
        <v>0</v>
      </c>
      <c r="E41" s="359">
        <f>Fluxo_de_Caixa_Janeiro34[[#This Row],[Março]]</f>
        <v>0</v>
      </c>
      <c r="F41" s="359">
        <f>Fluxo_de_Caixa_Janeiro345[[#This Row],[ABRIL]]</f>
        <v>0</v>
      </c>
      <c r="G41" s="359">
        <f>Fluxo_de_Caixa_Janeiro3459[[#This Row],[MAIO]]</f>
        <v>0</v>
      </c>
      <c r="H41" s="359">
        <f>Fluxo_de_Caixa_Janeiro345911[[#This Row],[JUNHO]]</f>
        <v>0</v>
      </c>
      <c r="I41" s="358">
        <f>Fluxo_de_Caixa_Janeiro3459117[[#This Row],[JULHO]]</f>
        <v>0</v>
      </c>
      <c r="J41" s="359">
        <f>Fluxo_de_Caixa_Janeiro345911710[[#This Row],[AGOSTO]]</f>
        <v>0</v>
      </c>
      <c r="K41" s="359">
        <f>Fluxo_de_Caixa_Janeiro34591171012[[#This Row],[SETEMBRO]]</f>
        <v>0</v>
      </c>
      <c r="L41" s="359">
        <f>Fluxo_de_Caixa_Janeiro3459117101215[[#This Row],[OUTUBRO]]</f>
        <v>0</v>
      </c>
      <c r="M41" s="359">
        <f>Fluxo_de_Caixa_Janeiro345911710121516[[#This Row],[NOVEMBRO]]</f>
        <v>0</v>
      </c>
      <c r="N41" s="361">
        <f>Fluxo_de_Caixa_Janeiro34591171012151619[[#This Row],[DEZEMBRO]]</f>
        <v>0</v>
      </c>
      <c r="O41" s="394">
        <f>SUM(Fluxo_de_Caixa_Janeiro31020818[[#This Row],[Janeiro]:[Dezembro]])</f>
        <v>0</v>
      </c>
      <c r="P41" s="140" t="str">
        <f t="shared" si="2"/>
        <v>0,00%</v>
      </c>
      <c r="Q41" s="140"/>
      <c r="R41" s="32" t="str">
        <f>IF(Fluxo_de_Caixa_Janeiro31020818[[#This Row],[% ACUMULADO  ANO 2026]]&gt;=Fluxo_de_Caixa_Janeiro31020818[[#This Row],[Coluna1]],"VERDADEIRO","FALSO")</f>
        <v>VERDADEIRO</v>
      </c>
    </row>
    <row r="42" spans="1:20" hidden="1" x14ac:dyDescent="0.25">
      <c r="B42" s="363">
        <f>Fluxo_de_Caixa_Janeiro[[#This Row],[Fluxo de Caixa 2026 CTR]]</f>
        <v>0</v>
      </c>
      <c r="C42" s="358">
        <f>Fluxo_de_Caixa_Janeiro[[#This Row],[Janeiro]]</f>
        <v>0</v>
      </c>
      <c r="D42" s="359">
        <f>Fluxo_de_Caixa_Janeiro3[[#This Row],[Fevereiro]]</f>
        <v>0</v>
      </c>
      <c r="E42" s="359">
        <f>Fluxo_de_Caixa_Janeiro34[[#This Row],[Março]]</f>
        <v>0</v>
      </c>
      <c r="F42" s="359">
        <f>Fluxo_de_Caixa_Janeiro345[[#This Row],[ABRIL]]</f>
        <v>0</v>
      </c>
      <c r="G42" s="359">
        <f>Fluxo_de_Caixa_Janeiro3459[[#This Row],[MAIO]]</f>
        <v>0</v>
      </c>
      <c r="H42" s="359">
        <f>Fluxo_de_Caixa_Janeiro345911[[#This Row],[JUNHO]]</f>
        <v>0</v>
      </c>
      <c r="I42" s="358">
        <f>Fluxo_de_Caixa_Janeiro3459117[[#This Row],[JULHO]]</f>
        <v>0</v>
      </c>
      <c r="J42" s="359">
        <f>Fluxo_de_Caixa_Janeiro345911710[[#This Row],[AGOSTO]]</f>
        <v>0</v>
      </c>
      <c r="K42" s="359">
        <f>Fluxo_de_Caixa_Janeiro34591171012[[#This Row],[SETEMBRO]]</f>
        <v>0</v>
      </c>
      <c r="L42" s="359">
        <f>Fluxo_de_Caixa_Janeiro3459117101215[[#This Row],[OUTUBRO]]</f>
        <v>0</v>
      </c>
      <c r="M42" s="359">
        <f>Fluxo_de_Caixa_Janeiro345911710121516[[#This Row],[NOVEMBRO]]</f>
        <v>0</v>
      </c>
      <c r="N42" s="361">
        <f>Fluxo_de_Caixa_Janeiro34591171012151619[[#This Row],[DEZEMBRO]]</f>
        <v>0</v>
      </c>
      <c r="O42" s="394">
        <f>SUM(Fluxo_de_Caixa_Janeiro31020818[[#This Row],[Janeiro]:[Dezembro]])</f>
        <v>0</v>
      </c>
      <c r="P42" s="140" t="str">
        <f t="shared" si="2"/>
        <v>0,00%</v>
      </c>
      <c r="Q42" s="140"/>
      <c r="R42" s="32" t="str">
        <f>IF(Fluxo_de_Caixa_Janeiro31020818[[#This Row],[% ACUMULADO  ANO 2026]]&gt;=Fluxo_de_Caixa_Janeiro31020818[[#This Row],[Coluna1]],"VERDADEIRO","FALSO")</f>
        <v>VERDADEIRO</v>
      </c>
    </row>
    <row r="43" spans="1:20" hidden="1" x14ac:dyDescent="0.25">
      <c r="B43" s="364">
        <f>Fluxo_de_Caixa_Janeiro[[#This Row],[Fluxo de Caixa 2026 CTR]]</f>
        <v>0</v>
      </c>
      <c r="C43" s="358">
        <f>Fluxo_de_Caixa_Janeiro[[#This Row],[Janeiro]]</f>
        <v>0</v>
      </c>
      <c r="D43" s="359">
        <f>Fluxo_de_Caixa_Janeiro3[[#This Row],[Fevereiro]]</f>
        <v>0</v>
      </c>
      <c r="E43" s="359">
        <f>Fluxo_de_Caixa_Janeiro34[[#This Row],[Março]]</f>
        <v>0</v>
      </c>
      <c r="F43" s="359">
        <f>Fluxo_de_Caixa_Janeiro345[[#This Row],[ABRIL]]</f>
        <v>0</v>
      </c>
      <c r="G43" s="359">
        <f>Fluxo_de_Caixa_Janeiro3459[[#This Row],[MAIO]]</f>
        <v>0</v>
      </c>
      <c r="H43" s="359">
        <f>Fluxo_de_Caixa_Janeiro345911[[#This Row],[JUNHO]]</f>
        <v>0</v>
      </c>
      <c r="I43" s="358">
        <f>Fluxo_de_Caixa_Janeiro3459117[[#This Row],[JULHO]]</f>
        <v>0</v>
      </c>
      <c r="J43" s="359">
        <f>Fluxo_de_Caixa_Janeiro345911710[[#This Row],[AGOSTO]]</f>
        <v>0</v>
      </c>
      <c r="K43" s="359">
        <f>Fluxo_de_Caixa_Janeiro34591171012[[#This Row],[SETEMBRO]]</f>
        <v>0</v>
      </c>
      <c r="L43" s="359">
        <f>Fluxo_de_Caixa_Janeiro3459117101215[[#This Row],[OUTUBRO]]</f>
        <v>0</v>
      </c>
      <c r="M43" s="359">
        <f>Fluxo_de_Caixa_Janeiro345911710121516[[#This Row],[NOVEMBRO]]</f>
        <v>0</v>
      </c>
      <c r="N43" s="361">
        <f>Fluxo_de_Caixa_Janeiro34591171012151619[[#This Row],[DEZEMBRO]]</f>
        <v>0</v>
      </c>
      <c r="O43" s="394">
        <f>SUM(Fluxo_de_Caixa_Janeiro31020818[[#This Row],[Janeiro]:[Dezembro]])</f>
        <v>0</v>
      </c>
      <c r="P43" s="140" t="str">
        <f t="shared" si="2"/>
        <v>0,00%</v>
      </c>
      <c r="Q43" s="140"/>
      <c r="R43" s="32" t="str">
        <f>IF(Fluxo_de_Caixa_Janeiro31020818[[#This Row],[% ACUMULADO  ANO 2026]]&gt;=Fluxo_de_Caixa_Janeiro31020818[[#This Row],[Coluna1]],"VERDADEIRO","FALSO")</f>
        <v>VERDADEIRO</v>
      </c>
    </row>
    <row r="44" spans="1:20" hidden="1" x14ac:dyDescent="0.25">
      <c r="B44" s="364">
        <f>Fluxo_de_Caixa_Janeiro[[#This Row],[Fluxo de Caixa 2026 CTR]]</f>
        <v>0</v>
      </c>
      <c r="C44" s="358">
        <f>Fluxo_de_Caixa_Janeiro[[#This Row],[Janeiro]]</f>
        <v>0</v>
      </c>
      <c r="D44" s="359">
        <f>Fluxo_de_Caixa_Janeiro3[[#This Row],[Fevereiro]]</f>
        <v>0</v>
      </c>
      <c r="E44" s="359">
        <f>Fluxo_de_Caixa_Janeiro34[[#This Row],[Março]]</f>
        <v>0</v>
      </c>
      <c r="F44" s="359">
        <f>Fluxo_de_Caixa_Janeiro345[[#This Row],[ABRIL]]</f>
        <v>0</v>
      </c>
      <c r="G44" s="359">
        <f>Fluxo_de_Caixa_Janeiro3459[[#This Row],[MAIO]]</f>
        <v>0</v>
      </c>
      <c r="H44" s="359">
        <f>Fluxo_de_Caixa_Janeiro345911[[#This Row],[JUNHO]]</f>
        <v>0</v>
      </c>
      <c r="I44" s="358">
        <f>Fluxo_de_Caixa_Janeiro3459117[[#This Row],[JULHO]]</f>
        <v>0</v>
      </c>
      <c r="J44" s="359">
        <f>Fluxo_de_Caixa_Janeiro345911710[[#This Row],[AGOSTO]]</f>
        <v>0</v>
      </c>
      <c r="K44" s="359">
        <f>Fluxo_de_Caixa_Janeiro34591171012[[#This Row],[SETEMBRO]]</f>
        <v>0</v>
      </c>
      <c r="L44" s="359">
        <f>Fluxo_de_Caixa_Janeiro3459117101215[[#This Row],[OUTUBRO]]</f>
        <v>0</v>
      </c>
      <c r="M44" s="359">
        <f>Fluxo_de_Caixa_Janeiro345911710121516[[#This Row],[NOVEMBRO]]</f>
        <v>0</v>
      </c>
      <c r="N44" s="361">
        <f>Fluxo_de_Caixa_Janeiro34591171012151619[[#This Row],[DEZEMBRO]]</f>
        <v>0</v>
      </c>
      <c r="O44" s="394">
        <f>SUM(Fluxo_de_Caixa_Janeiro31020818[[#This Row],[Janeiro]:[Dezembro]])</f>
        <v>0</v>
      </c>
      <c r="P44" s="140" t="str">
        <f t="shared" si="2"/>
        <v>0,00%</v>
      </c>
      <c r="Q44" s="140"/>
      <c r="R44" s="32" t="str">
        <f>IF(Fluxo_de_Caixa_Janeiro31020818[[#This Row],[% ACUMULADO  ANO 2026]]&gt;=Fluxo_de_Caixa_Janeiro31020818[[#This Row],[Coluna1]],"VERDADEIRO","FALSO")</f>
        <v>VERDADEIRO</v>
      </c>
    </row>
    <row r="45" spans="1:20" hidden="1" x14ac:dyDescent="0.25">
      <c r="B45" s="51">
        <f>Fluxo_de_Caixa_Janeiro[[#This Row],[Fluxo de Caixa 2026 CTR]]</f>
        <v>0</v>
      </c>
      <c r="C45" s="35">
        <f>Fluxo_de_Caixa_Janeiro[[#This Row],[Janeiro]]</f>
        <v>0</v>
      </c>
      <c r="D45" s="62">
        <f>Fluxo_de_Caixa_Janeiro3[[#This Row],[Fevereiro]]</f>
        <v>0</v>
      </c>
      <c r="E45" s="62">
        <f>Fluxo_de_Caixa_Janeiro34[[#This Row],[Março]]</f>
        <v>0</v>
      </c>
      <c r="F45" s="62">
        <f>Fluxo_de_Caixa_Janeiro345[[#This Row],[ABRIL]]</f>
        <v>0</v>
      </c>
      <c r="G45" s="62">
        <f>Fluxo_de_Caixa_Janeiro3459[[#This Row],[MAIO]]</f>
        <v>0</v>
      </c>
      <c r="H45" s="62">
        <f>Fluxo_de_Caixa_Janeiro345911[[#This Row],[JUNHO]]</f>
        <v>0</v>
      </c>
      <c r="I45" s="35">
        <f>Fluxo_de_Caixa_Janeiro3459117[[#This Row],[JULHO]]</f>
        <v>0</v>
      </c>
      <c r="J45" s="62">
        <f>Fluxo_de_Caixa_Janeiro345911710[[#This Row],[AGOSTO]]</f>
        <v>0</v>
      </c>
      <c r="K45" s="62">
        <f>Fluxo_de_Caixa_Janeiro34591171012[[#This Row],[SETEMBRO]]</f>
        <v>0</v>
      </c>
      <c r="L45" s="62">
        <f>Fluxo_de_Caixa_Janeiro3459117101215[[#This Row],[OUTUBRO]]</f>
        <v>0</v>
      </c>
      <c r="M45" s="62">
        <f>Fluxo_de_Caixa_Janeiro345911710121516[[#This Row],[NOVEMBRO]]</f>
        <v>0</v>
      </c>
      <c r="N45" s="119">
        <f>Fluxo_de_Caixa_Janeiro34591171012151619[[#This Row],[DEZEMBRO]]</f>
        <v>0</v>
      </c>
      <c r="O45" s="214">
        <f>SUM(Fluxo_de_Caixa_Janeiro31020818[[#This Row],[Janeiro]:[Dezembro]])</f>
        <v>0</v>
      </c>
      <c r="P45" s="140" t="str">
        <f t="shared" si="2"/>
        <v>0,00%</v>
      </c>
      <c r="Q45" s="140"/>
      <c r="R45" s="32" t="str">
        <f>IF(Fluxo_de_Caixa_Janeiro31020818[[#This Row],[% ACUMULADO  ANO 2026]]&gt;=Fluxo_de_Caixa_Janeiro31020818[[#This Row],[Coluna1]],"VERDADEIRO","FALSO")</f>
        <v>VERDADEIRO</v>
      </c>
    </row>
    <row r="46" spans="1:20" hidden="1" x14ac:dyDescent="0.25">
      <c r="B46" s="51">
        <f>Fluxo_de_Caixa_Janeiro[[#This Row],[Fluxo de Caixa 2026 CTR]]</f>
        <v>0</v>
      </c>
      <c r="C46" s="35">
        <f>Fluxo_de_Caixa_Janeiro[[#This Row],[Janeiro]]</f>
        <v>0</v>
      </c>
      <c r="D46" s="62">
        <f>Fluxo_de_Caixa_Janeiro3[[#This Row],[Fevereiro]]</f>
        <v>0</v>
      </c>
      <c r="E46" s="62">
        <f>Fluxo_de_Caixa_Janeiro34[[#This Row],[Março]]</f>
        <v>0</v>
      </c>
      <c r="F46" s="62">
        <f>Fluxo_de_Caixa_Janeiro345[[#This Row],[ABRIL]]</f>
        <v>0</v>
      </c>
      <c r="G46" s="62">
        <f>Fluxo_de_Caixa_Janeiro3459[[#This Row],[MAIO]]</f>
        <v>0</v>
      </c>
      <c r="H46" s="62">
        <f>Fluxo_de_Caixa_Janeiro345911[[#This Row],[JUNHO]]</f>
        <v>0</v>
      </c>
      <c r="I46" s="35">
        <f>Fluxo_de_Caixa_Janeiro3459117[[#This Row],[JULHO]]</f>
        <v>0</v>
      </c>
      <c r="J46" s="62">
        <f>Fluxo_de_Caixa_Janeiro345911710[[#This Row],[AGOSTO]]</f>
        <v>0</v>
      </c>
      <c r="K46" s="62">
        <f>Fluxo_de_Caixa_Janeiro34591171012[[#This Row],[SETEMBRO]]</f>
        <v>0</v>
      </c>
      <c r="L46" s="62">
        <f>Fluxo_de_Caixa_Janeiro3459117101215[[#This Row],[OUTUBRO]]</f>
        <v>0</v>
      </c>
      <c r="M46" s="62">
        <f>Fluxo_de_Caixa_Janeiro345911710121516[[#This Row],[NOVEMBRO]]</f>
        <v>0</v>
      </c>
      <c r="N46" s="119">
        <f>Fluxo_de_Caixa_Janeiro34591171012151619[[#This Row],[DEZEMBRO]]</f>
        <v>0</v>
      </c>
      <c r="O46" s="214">
        <f>SUM(Fluxo_de_Caixa_Janeiro31020818[[#This Row],[Janeiro]:[Dezembro]])</f>
        <v>0</v>
      </c>
      <c r="P46" s="140" t="str">
        <f t="shared" si="2"/>
        <v>0,00%</v>
      </c>
      <c r="Q46" s="140"/>
      <c r="R46" s="32" t="str">
        <f>IF(Fluxo_de_Caixa_Janeiro31020818[[#This Row],[% ACUMULADO  ANO 2026]]&gt;=Fluxo_de_Caixa_Janeiro31020818[[#This Row],[Coluna1]],"VERDADEIRO","FALSO")</f>
        <v>VERDADEIRO</v>
      </c>
    </row>
    <row r="47" spans="1:20" ht="15.75" hidden="1" thickBot="1" x14ac:dyDescent="0.3">
      <c r="B47" s="51">
        <f>Fluxo_de_Caixa_Janeiro[[#This Row],[Fluxo de Caixa 2026 CTR]]</f>
        <v>0</v>
      </c>
      <c r="C47" s="36">
        <f>Fluxo_de_Caixa_Janeiro[[#This Row],[Janeiro]]</f>
        <v>0</v>
      </c>
      <c r="D47" s="82">
        <f>Fluxo_de_Caixa_Janeiro3[[#This Row],[Fevereiro]]</f>
        <v>0</v>
      </c>
      <c r="E47" s="82">
        <f>Fluxo_de_Caixa_Janeiro34[[#This Row],[Março]]</f>
        <v>0</v>
      </c>
      <c r="F47" s="82">
        <f>Fluxo_de_Caixa_Janeiro345[[#This Row],[ABRIL]]</f>
        <v>0</v>
      </c>
      <c r="G47" s="82">
        <f>Fluxo_de_Caixa_Janeiro3459[[#This Row],[MAIO]]</f>
        <v>0</v>
      </c>
      <c r="H47" s="82">
        <f>Fluxo_de_Caixa_Janeiro345911[[#This Row],[JUNHO]]</f>
        <v>0</v>
      </c>
      <c r="I47" s="36">
        <f>Fluxo_de_Caixa_Janeiro3459117[[#This Row],[JULHO]]</f>
        <v>0</v>
      </c>
      <c r="J47" s="82">
        <f>Fluxo_de_Caixa_Janeiro345911710[[#This Row],[AGOSTO]]</f>
        <v>0</v>
      </c>
      <c r="K47" s="82">
        <f>Fluxo_de_Caixa_Janeiro34591171012[[#This Row],[SETEMBRO]]</f>
        <v>0</v>
      </c>
      <c r="L47" s="82">
        <f>Fluxo_de_Caixa_Janeiro3459117101215[[#This Row],[OUTUBRO]]</f>
        <v>0</v>
      </c>
      <c r="M47" s="82">
        <f>Fluxo_de_Caixa_Janeiro345911710121516[[#This Row],[NOVEMBRO]]</f>
        <v>0</v>
      </c>
      <c r="N47" s="120">
        <f>Fluxo_de_Caixa_Janeiro34591171012151619[[#This Row],[DEZEMBRO]]</f>
        <v>0</v>
      </c>
      <c r="O47" s="215">
        <f>SUM(Fluxo_de_Caixa_Janeiro31020818[[#This Row],[Janeiro]:[Dezembro]])</f>
        <v>0</v>
      </c>
      <c r="P47" s="141" t="str">
        <f t="shared" si="2"/>
        <v>0,00%</v>
      </c>
      <c r="Q47" s="141"/>
      <c r="R47" s="32" t="str">
        <f>IF(Fluxo_de_Caixa_Janeiro31020818[[#This Row],[% ACUMULADO  ANO 2026]]&gt;=Fluxo_de_Caixa_Janeiro31020818[[#This Row],[Coluna1]],"VERDADEIRO","FALSO")</f>
        <v>VERDADEIRO</v>
      </c>
    </row>
    <row r="48" spans="1:20" s="1" customFormat="1" ht="24" thickBot="1" x14ac:dyDescent="0.4">
      <c r="A48" s="11" t="s">
        <v>55</v>
      </c>
      <c r="B48" s="48" t="str">
        <f>Fluxo_de_Caixa_Janeiro[[#This Row],[Fluxo de Caixa 2026 CTR]]</f>
        <v>1.5. Receita de Garantias</v>
      </c>
      <c r="C48" s="38">
        <f>Fluxo_de_Caixa_Janeiro[[#This Row],[Janeiro]]</f>
        <v>0</v>
      </c>
      <c r="D48" s="87">
        <f>Fluxo_de_Caixa_Janeiro3[[#This Row],[Fevereiro]]</f>
        <v>0</v>
      </c>
      <c r="E48" s="87">
        <f>Fluxo_de_Caixa_Janeiro34[[#This Row],[Março]]</f>
        <v>0</v>
      </c>
      <c r="F48" s="87">
        <f>Fluxo_de_Caixa_Janeiro345[[#This Row],[ABRIL]]</f>
        <v>0</v>
      </c>
      <c r="G48" s="87">
        <f>Fluxo_de_Caixa_Janeiro3459[[#This Row],[MAIO]]</f>
        <v>0</v>
      </c>
      <c r="H48" s="87">
        <f>Fluxo_de_Caixa_Janeiro345911[[#This Row],[JUNHO]]</f>
        <v>0</v>
      </c>
      <c r="I48" s="38">
        <f>Fluxo_de_Caixa_Janeiro3459117[[#This Row],[JULHO]]</f>
        <v>0</v>
      </c>
      <c r="J48" s="87">
        <f>Fluxo_de_Caixa_Janeiro345911710[[#This Row],[AGOSTO]]</f>
        <v>0</v>
      </c>
      <c r="K48" s="87">
        <f>Fluxo_de_Caixa_Janeiro34591171012[[#This Row],[SETEMBRO]]</f>
        <v>0</v>
      </c>
      <c r="L48" s="87">
        <f>Fluxo_de_Caixa_Janeiro3459117101215[[#This Row],[OUTUBRO]]</f>
        <v>0</v>
      </c>
      <c r="M48" s="87">
        <f>Fluxo_de_Caixa_Janeiro345911710121516[[#This Row],[NOVEMBRO]]</f>
        <v>0</v>
      </c>
      <c r="N48" s="125">
        <f>Fluxo_de_Caixa_Janeiro34591171012151619[[#This Row],[DEZEMBRO]]</f>
        <v>0</v>
      </c>
      <c r="O48" s="216">
        <f>SUM(Fluxo_de_Caixa_Janeiro31020818[[#This Row],[Janeiro]:[Dezembro]])</f>
        <v>0</v>
      </c>
      <c r="P48" s="19">
        <f>SUM(P49:P51)</f>
        <v>0</v>
      </c>
      <c r="Q48" s="19"/>
      <c r="R48" s="32" t="str">
        <f>IF(Fluxo_de_Caixa_Janeiro31020818[[#This Row],[% ACUMULADO  ANO 2026]]&gt;=Fluxo_de_Caixa_Janeiro31020818[[#This Row],[Coluna1]],"VERDADEIRO","FALSO")</f>
        <v>VERDADEIRO</v>
      </c>
    </row>
    <row r="49" spans="1:20" x14ac:dyDescent="0.25">
      <c r="B49" s="49" t="str">
        <f>Fluxo_de_Caixa_Janeiro[[#This Row],[Fluxo de Caixa 2026 CTR]]</f>
        <v>1.2.01. RECEITA EM DINHEIRO</v>
      </c>
      <c r="C49" s="41">
        <f>Fluxo_de_Caixa_Janeiro[[#This Row],[Janeiro]]</f>
        <v>0</v>
      </c>
      <c r="D49" s="81">
        <f>Fluxo_de_Caixa_Janeiro3[[#This Row],[Fevereiro]]</f>
        <v>0</v>
      </c>
      <c r="E49" s="81">
        <f>Fluxo_de_Caixa_Janeiro34[[#This Row],[Março]]</f>
        <v>0</v>
      </c>
      <c r="F49" s="81">
        <f>Fluxo_de_Caixa_Janeiro345[[#This Row],[ABRIL]]</f>
        <v>0</v>
      </c>
      <c r="G49" s="81">
        <f>Fluxo_de_Caixa_Janeiro3459[[#This Row],[MAIO]]</f>
        <v>0</v>
      </c>
      <c r="H49" s="81">
        <f>Fluxo_de_Caixa_Janeiro345911[[#This Row],[JUNHO]]</f>
        <v>0</v>
      </c>
      <c r="I49" s="41">
        <f>Fluxo_de_Caixa_Janeiro3459117[[#This Row],[JULHO]]</f>
        <v>0</v>
      </c>
      <c r="J49" s="81">
        <f>Fluxo_de_Caixa_Janeiro345911710[[#This Row],[AGOSTO]]</f>
        <v>0</v>
      </c>
      <c r="K49" s="81">
        <f>Fluxo_de_Caixa_Janeiro34591171012[[#This Row],[SETEMBRO]]</f>
        <v>0</v>
      </c>
      <c r="L49" s="81">
        <f>Fluxo_de_Caixa_Janeiro3459117101215[[#This Row],[OUTUBRO]]</f>
        <v>0</v>
      </c>
      <c r="M49" s="81">
        <f>Fluxo_de_Caixa_Janeiro345911710121516[[#This Row],[NOVEMBRO]]</f>
        <v>0</v>
      </c>
      <c r="N49" s="118">
        <f>Fluxo_de_Caixa_Janeiro34591171012151619[[#This Row],[DEZEMBRO]]</f>
        <v>0</v>
      </c>
      <c r="O49" s="213">
        <f>SUM(Fluxo_de_Caixa_Janeiro31020818[[#This Row],[Janeiro]:[Dezembro]])</f>
        <v>0</v>
      </c>
      <c r="P49" s="29" t="str">
        <f>IF(O49=0,"0,00%",O49/$O$332)</f>
        <v>0,00%</v>
      </c>
      <c r="Q49" s="29"/>
      <c r="R49" s="32" t="str">
        <f>IF(Fluxo_de_Caixa_Janeiro31020818[[#This Row],[% ACUMULADO  ANO 2026]]&gt;=Fluxo_de_Caixa_Janeiro31020818[[#This Row],[Coluna1]],"VERDADEIRO","FALSO")</f>
        <v>VERDADEIRO</v>
      </c>
    </row>
    <row r="50" spans="1:20" ht="15.75" thickBot="1" x14ac:dyDescent="0.3">
      <c r="B50" s="50" t="str">
        <f>Fluxo_de_Caixa_Janeiro[[#This Row],[Fluxo de Caixa 2026 CTR]]</f>
        <v xml:space="preserve">1.2.02. RECEITA EM MERCADORIA </v>
      </c>
      <c r="C50" s="35">
        <f>Fluxo_de_Caixa_Janeiro[[#This Row],[Janeiro]]</f>
        <v>0</v>
      </c>
      <c r="D50" s="62">
        <f>Fluxo_de_Caixa_Janeiro3[[#This Row],[Fevereiro]]</f>
        <v>0</v>
      </c>
      <c r="E50" s="62">
        <f>Fluxo_de_Caixa_Janeiro34[[#This Row],[Março]]</f>
        <v>0</v>
      </c>
      <c r="F50" s="62">
        <f>Fluxo_de_Caixa_Janeiro345[[#This Row],[ABRIL]]</f>
        <v>0</v>
      </c>
      <c r="G50" s="62">
        <f>Fluxo_de_Caixa_Janeiro3459[[#This Row],[MAIO]]</f>
        <v>0</v>
      </c>
      <c r="H50" s="62">
        <f>Fluxo_de_Caixa_Janeiro345911[[#This Row],[JUNHO]]</f>
        <v>0</v>
      </c>
      <c r="I50" s="35">
        <f>Fluxo_de_Caixa_Janeiro3459117[[#This Row],[JULHO]]</f>
        <v>0</v>
      </c>
      <c r="J50" s="62">
        <f>Fluxo_de_Caixa_Janeiro345911710[[#This Row],[AGOSTO]]</f>
        <v>0</v>
      </c>
      <c r="K50" s="62">
        <f>Fluxo_de_Caixa_Janeiro34591171012[[#This Row],[SETEMBRO]]</f>
        <v>0</v>
      </c>
      <c r="L50" s="62">
        <f>Fluxo_de_Caixa_Janeiro3459117101215[[#This Row],[OUTUBRO]]</f>
        <v>0</v>
      </c>
      <c r="M50" s="62">
        <f>Fluxo_de_Caixa_Janeiro345911710121516[[#This Row],[NOVEMBRO]]</f>
        <v>0</v>
      </c>
      <c r="N50" s="119">
        <f>Fluxo_de_Caixa_Janeiro34591171012151619[[#This Row],[DEZEMBRO]]</f>
        <v>0</v>
      </c>
      <c r="O50" s="214">
        <f>SUM(Fluxo_de_Caixa_Janeiro31020818[[#This Row],[Janeiro]:[Dezembro]])</f>
        <v>0</v>
      </c>
      <c r="P50" s="140" t="str">
        <f>IF(O50=0,"0,00%",O50/$O$332)</f>
        <v>0,00%</v>
      </c>
      <c r="Q50" s="140"/>
      <c r="R50" s="32" t="str">
        <f>IF(Fluxo_de_Caixa_Janeiro31020818[[#This Row],[% ACUMULADO  ANO 2026]]&gt;=Fluxo_de_Caixa_Janeiro31020818[[#This Row],[Coluna1]],"VERDADEIRO","FALSO")</f>
        <v>VERDADEIRO</v>
      </c>
    </row>
    <row r="51" spans="1:20" ht="15.75" hidden="1" thickBot="1" x14ac:dyDescent="0.3">
      <c r="B51" s="58">
        <f>Fluxo_de_Caixa_Janeiro[[#This Row],[Fluxo de Caixa 2026 CTR]]</f>
        <v>0</v>
      </c>
      <c r="C51" s="36">
        <f>Fluxo_de_Caixa_Janeiro[[#This Row],[Janeiro]]</f>
        <v>0</v>
      </c>
      <c r="D51" s="82">
        <f>Fluxo_de_Caixa_Janeiro3[[#This Row],[Fevereiro]]</f>
        <v>0</v>
      </c>
      <c r="E51" s="82">
        <f>Fluxo_de_Caixa_Janeiro34[[#This Row],[Março]]</f>
        <v>0</v>
      </c>
      <c r="F51" s="82">
        <f>Fluxo_de_Caixa_Janeiro345[[#This Row],[ABRIL]]</f>
        <v>0</v>
      </c>
      <c r="G51" s="82">
        <f>Fluxo_de_Caixa_Janeiro3459[[#This Row],[MAIO]]</f>
        <v>0</v>
      </c>
      <c r="H51" s="82">
        <f>Fluxo_de_Caixa_Janeiro345911[[#This Row],[JUNHO]]</f>
        <v>0</v>
      </c>
      <c r="I51" s="36">
        <f>Fluxo_de_Caixa_Janeiro3459117[[#This Row],[JULHO]]</f>
        <v>0</v>
      </c>
      <c r="J51" s="82">
        <f>Fluxo_de_Caixa_Janeiro345911710[[#This Row],[AGOSTO]]</f>
        <v>0</v>
      </c>
      <c r="K51" s="82">
        <f>Fluxo_de_Caixa_Janeiro34591171012[[#This Row],[SETEMBRO]]</f>
        <v>0</v>
      </c>
      <c r="L51" s="82">
        <f>Fluxo_de_Caixa_Janeiro3459117101215[[#This Row],[OUTUBRO]]</f>
        <v>0</v>
      </c>
      <c r="M51" s="82">
        <f>Fluxo_de_Caixa_Janeiro345911710121516[[#This Row],[NOVEMBRO]]</f>
        <v>0</v>
      </c>
      <c r="N51" s="120">
        <f>Fluxo_de_Caixa_Janeiro34591171012151619[[#This Row],[DEZEMBRO]]</f>
        <v>0</v>
      </c>
      <c r="O51" s="215">
        <f>SUM(Fluxo_de_Caixa_Janeiro31020818[[#This Row],[Janeiro]:[Dezembro]])</f>
        <v>0</v>
      </c>
      <c r="P51" s="142" t="str">
        <f>IF(O51=0,"0,00%",O51/$O$332)</f>
        <v>0,00%</v>
      </c>
      <c r="Q51" s="142"/>
      <c r="R51" s="32" t="str">
        <f>IF(Fluxo_de_Caixa_Janeiro31020818[[#This Row],[% ACUMULADO  ANO 2026]]&gt;=Fluxo_de_Caixa_Janeiro31020818[[#This Row],[Coluna1]],"VERDADEIRO","FALSO")</f>
        <v>VERDADEIRO</v>
      </c>
    </row>
    <row r="52" spans="1:20" s="2" customFormat="1" ht="24" thickBot="1" x14ac:dyDescent="0.4">
      <c r="A52" s="12" t="s">
        <v>22</v>
      </c>
      <c r="B52" s="53" t="str">
        <f>Fluxo_de_Caixa_Janeiro[[#This Row],[Fluxo de Caixa 2026 CTR]]</f>
        <v>2.1. Despesa Com Custo de Aquisição</v>
      </c>
      <c r="C52" s="42">
        <f>Fluxo_de_Caixa_Janeiro[[#This Row],[Janeiro]]</f>
        <v>-460642.66</v>
      </c>
      <c r="D52" s="88">
        <f>Fluxo_de_Caixa_Janeiro3[[#This Row],[Fevereiro]]</f>
        <v>-419540.11</v>
      </c>
      <c r="E52" s="88">
        <f>Fluxo_de_Caixa_Janeiro34[[#This Row],[Março]]</f>
        <v>-456490.45000000007</v>
      </c>
      <c r="F52" s="88">
        <f>Fluxo_de_Caixa_Janeiro345[[#This Row],[ABRIL]]</f>
        <v>-376222.97</v>
      </c>
      <c r="G52" s="88">
        <f>Fluxo_de_Caixa_Janeiro3459[[#This Row],[MAIO]]</f>
        <v>-206362.87</v>
      </c>
      <c r="H52" s="88">
        <f>Fluxo_de_Caixa_Janeiro345911[[#This Row],[JUNHO]]</f>
        <v>0</v>
      </c>
      <c r="I52" s="42">
        <f>Fluxo_de_Caixa_Janeiro3459117[[#This Row],[JULHO]]</f>
        <v>0</v>
      </c>
      <c r="J52" s="88">
        <f>Fluxo_de_Caixa_Janeiro345911710[[#This Row],[AGOSTO]]</f>
        <v>0</v>
      </c>
      <c r="K52" s="88">
        <f>Fluxo_de_Caixa_Janeiro34591171012[[#This Row],[SETEMBRO]]</f>
        <v>0</v>
      </c>
      <c r="L52" s="88">
        <f>Fluxo_de_Caixa_Janeiro3459117101215[[#This Row],[OUTUBRO]]</f>
        <v>0</v>
      </c>
      <c r="M52" s="88">
        <f>Fluxo_de_Caixa_Janeiro345911710121516[[#This Row],[NOVEMBRO]]</f>
        <v>0</v>
      </c>
      <c r="N52" s="126">
        <f>Fluxo_de_Caixa_Janeiro34591171012151619[[#This Row],[DEZEMBRO]]</f>
        <v>0</v>
      </c>
      <c r="O52" s="217">
        <f>SUM(Fluxo_de_Caixa_Janeiro31020818[[#This Row],[Janeiro]:[Dezembro]])</f>
        <v>-1919259.06</v>
      </c>
      <c r="P52" s="21">
        <f>-IFERROR(O52/$O$27,"0,00")</f>
        <v>0.41412926828566232</v>
      </c>
      <c r="Q52" s="21"/>
      <c r="R52" s="32" t="str">
        <f>IF(Fluxo_de_Caixa_Janeiro31020818[[#This Row],[% ACUMULADO  ANO 2026]]&lt;=Fluxo_de_Caixa_Janeiro31020818[[#This Row],[Coluna1]],"VERDADEIRO","FALSO")</f>
        <v>FALSO</v>
      </c>
      <c r="S52" s="650">
        <v>4.6634405385289179E-2</v>
      </c>
    </row>
    <row r="53" spans="1:20" x14ac:dyDescent="0.25">
      <c r="B53" s="166" t="str">
        <f>Fluxo_de_Caixa_Janeiro[[#This Row],[Fluxo de Caixa 2026 CTR]]</f>
        <v>2.1.01.FORNECEDORES DE MERCADORIAS REVENDA</v>
      </c>
      <c r="C53" s="41">
        <f>Fluxo_de_Caixa_Janeiro[[#This Row],[Janeiro]]</f>
        <v>450059.19</v>
      </c>
      <c r="D53" s="81">
        <f>Fluxo_de_Caixa_Janeiro3[[#This Row],[Fevereiro]]</f>
        <v>400361.57</v>
      </c>
      <c r="E53" s="81">
        <f>Fluxo_de_Caixa_Janeiro34[[#This Row],[Março]]</f>
        <v>449846.92000000004</v>
      </c>
      <c r="F53" s="81">
        <f>Fluxo_de_Caixa_Janeiro345[[#This Row],[ABRIL]]</f>
        <v>366608.48</v>
      </c>
      <c r="G53" s="81">
        <f>Fluxo_de_Caixa_Janeiro3459[[#This Row],[MAIO]]</f>
        <v>200802.91</v>
      </c>
      <c r="H53" s="81">
        <f>Fluxo_de_Caixa_Janeiro345911[[#This Row],[JUNHO]]</f>
        <v>0</v>
      </c>
      <c r="I53" s="41">
        <f>Fluxo_de_Caixa_Janeiro3459117[[#This Row],[JULHO]]</f>
        <v>0</v>
      </c>
      <c r="J53" s="81">
        <f>Fluxo_de_Caixa_Janeiro345911710[[#This Row],[AGOSTO]]</f>
        <v>0</v>
      </c>
      <c r="K53" s="81">
        <f>Fluxo_de_Caixa_Janeiro34591171012[[#This Row],[SETEMBRO]]</f>
        <v>0</v>
      </c>
      <c r="L53" s="81">
        <f>Fluxo_de_Caixa_Janeiro3459117101215[[#This Row],[OUTUBRO]]</f>
        <v>0</v>
      </c>
      <c r="M53" s="81">
        <f>Fluxo_de_Caixa_Janeiro345911710121516[[#This Row],[NOVEMBRO]]</f>
        <v>0</v>
      </c>
      <c r="N53" s="118">
        <f>Fluxo_de_Caixa_Janeiro34591171012151619[[#This Row],[DEZEMBRO]]</f>
        <v>0</v>
      </c>
      <c r="O53" s="218">
        <f>SUM(Fluxo_de_Caixa_Janeiro31020818[[#This Row],[Janeiro]:[Dezembro]])</f>
        <v>1867679.07</v>
      </c>
      <c r="P53" s="192">
        <f>IFERROR(O53/$O$27,"0,00%")</f>
        <v>0.40299956518196473</v>
      </c>
      <c r="Q53" s="192"/>
      <c r="R53" s="32" t="str">
        <f>IF(Fluxo_de_Caixa_Janeiro31020818[[#This Row],[% ACUMULADO  ANO 2026]]&lt;=Fluxo_de_Caixa_Janeiro31020818[[#This Row],[Coluna1]],"VERDADEIRO","FALSO")</f>
        <v>FALSO</v>
      </c>
    </row>
    <row r="54" spans="1:20" x14ac:dyDescent="0.25">
      <c r="B54" s="52" t="str">
        <f>Fluxo_de_Caixa_Janeiro[[#This Row],[Fluxo de Caixa 2026 CTR]]</f>
        <v>2.1.02.ADIANT. FORNEC. MERCA. REVENDA</v>
      </c>
      <c r="C54" s="35">
        <f>Fluxo_de_Caixa_Janeiro[[#This Row],[Janeiro]]</f>
        <v>0</v>
      </c>
      <c r="D54" s="62">
        <f>Fluxo_de_Caixa_Janeiro3[[#This Row],[Fevereiro]]</f>
        <v>0</v>
      </c>
      <c r="E54" s="62">
        <f>Fluxo_de_Caixa_Janeiro34[[#This Row],[Março]]</f>
        <v>0</v>
      </c>
      <c r="F54" s="62">
        <f>Fluxo_de_Caixa_Janeiro345[[#This Row],[ABRIL]]</f>
        <v>0</v>
      </c>
      <c r="G54" s="62">
        <f>Fluxo_de_Caixa_Janeiro3459[[#This Row],[MAIO]]</f>
        <v>0</v>
      </c>
      <c r="H54" s="62">
        <f>Fluxo_de_Caixa_Janeiro345911[[#This Row],[JUNHO]]</f>
        <v>0</v>
      </c>
      <c r="I54" s="35">
        <f>Fluxo_de_Caixa_Janeiro3459117[[#This Row],[JULHO]]</f>
        <v>0</v>
      </c>
      <c r="J54" s="62">
        <f>Fluxo_de_Caixa_Janeiro345911710[[#This Row],[AGOSTO]]</f>
        <v>0</v>
      </c>
      <c r="K54" s="62">
        <f>Fluxo_de_Caixa_Janeiro34591171012[[#This Row],[SETEMBRO]]</f>
        <v>0</v>
      </c>
      <c r="L54" s="62">
        <f>Fluxo_de_Caixa_Janeiro3459117101215[[#This Row],[OUTUBRO]]</f>
        <v>0</v>
      </c>
      <c r="M54" s="62">
        <f>Fluxo_de_Caixa_Janeiro345911710121516[[#This Row],[NOVEMBRO]]</f>
        <v>0</v>
      </c>
      <c r="N54" s="119">
        <f>Fluxo_de_Caixa_Janeiro34591171012151619[[#This Row],[DEZEMBRO]]</f>
        <v>0</v>
      </c>
      <c r="O54" s="219">
        <f>SUM(Fluxo_de_Caixa_Janeiro31020818[[#This Row],[Janeiro]:[Dezembro]])</f>
        <v>0</v>
      </c>
      <c r="P54" s="192">
        <f t="shared" ref="P54:P59" si="3">IFERROR(O54/$O$27,"0,00%")</f>
        <v>0</v>
      </c>
      <c r="Q54" s="192"/>
      <c r="R54" s="32" t="str">
        <f>IF(Fluxo_de_Caixa_Janeiro31020818[[#This Row],[% ACUMULADO  ANO 2026]]&lt;=Fluxo_de_Caixa_Janeiro31020818[[#This Row],[Coluna1]],"VERDADEIRO","FALSO")</f>
        <v>VERDADEIRO</v>
      </c>
    </row>
    <row r="55" spans="1:20" x14ac:dyDescent="0.25">
      <c r="B55" s="52" t="str">
        <f>Fluxo_de_Caixa_Janeiro[[#This Row],[Fluxo de Caixa 2026 CTR]]</f>
        <v>2.1.03.TRANSPORTADORA MERCA. REVENDA</v>
      </c>
      <c r="C55" s="35">
        <f>Fluxo_de_Caixa_Janeiro[[#This Row],[Janeiro]]</f>
        <v>10103.469999999999</v>
      </c>
      <c r="D55" s="62">
        <f>Fluxo_de_Caixa_Janeiro3[[#This Row],[Fevereiro]]</f>
        <v>19178.54</v>
      </c>
      <c r="E55" s="62">
        <f>Fluxo_de_Caixa_Janeiro34[[#This Row],[Março]]</f>
        <v>6643.53</v>
      </c>
      <c r="F55" s="62">
        <f>Fluxo_de_Caixa_Janeiro345[[#This Row],[ABRIL]]</f>
        <v>9614.49</v>
      </c>
      <c r="G55" s="62">
        <f>Fluxo_de_Caixa_Janeiro3459[[#This Row],[MAIO]]</f>
        <v>5559.96</v>
      </c>
      <c r="H55" s="62">
        <f>Fluxo_de_Caixa_Janeiro345911[[#This Row],[JUNHO]]</f>
        <v>0</v>
      </c>
      <c r="I55" s="35">
        <f>Fluxo_de_Caixa_Janeiro3459117[[#This Row],[JULHO]]</f>
        <v>0</v>
      </c>
      <c r="J55" s="62">
        <f>Fluxo_de_Caixa_Janeiro345911710[[#This Row],[AGOSTO]]</f>
        <v>0</v>
      </c>
      <c r="K55" s="62">
        <f>Fluxo_de_Caixa_Janeiro34591171012[[#This Row],[SETEMBRO]]</f>
        <v>0</v>
      </c>
      <c r="L55" s="62">
        <f>Fluxo_de_Caixa_Janeiro3459117101215[[#This Row],[OUTUBRO]]</f>
        <v>0</v>
      </c>
      <c r="M55" s="62">
        <f>Fluxo_de_Caixa_Janeiro345911710121516[[#This Row],[NOVEMBRO]]</f>
        <v>0</v>
      </c>
      <c r="N55" s="119">
        <f>Fluxo_de_Caixa_Janeiro34591171012151619[[#This Row],[DEZEMBRO]]</f>
        <v>0</v>
      </c>
      <c r="O55" s="219">
        <f>SUM(Fluxo_de_Caixa_Janeiro31020818[[#This Row],[Janeiro]:[Dezembro]])</f>
        <v>51099.99</v>
      </c>
      <c r="P55" s="192">
        <f t="shared" si="3"/>
        <v>1.1026130817433611E-2</v>
      </c>
      <c r="Q55" s="192"/>
      <c r="R55" s="32" t="str">
        <f>IF(Fluxo_de_Caixa_Janeiro31020818[[#This Row],[% ACUMULADO  ANO 2026]]&lt;=Fluxo_de_Caixa_Janeiro31020818[[#This Row],[Coluna1]],"VERDADEIRO","FALSO")</f>
        <v>FALSO</v>
      </c>
      <c r="T55">
        <v>151.08860000000001</v>
      </c>
    </row>
    <row r="56" spans="1:20" x14ac:dyDescent="0.25">
      <c r="B56" s="52" t="str">
        <f>Fluxo_de_Caixa_Janeiro[[#This Row],[Fluxo de Caixa 2026 CTR]]</f>
        <v>2.1.04.OUTROS CUSTOS DE MERC.REVENDA</v>
      </c>
      <c r="C56" s="35">
        <f>Fluxo_de_Caixa_Janeiro[[#This Row],[Janeiro]]</f>
        <v>480</v>
      </c>
      <c r="D56" s="62">
        <f>Fluxo_de_Caixa_Janeiro3[[#This Row],[Fevereiro]]</f>
        <v>0</v>
      </c>
      <c r="E56" s="62">
        <f>Fluxo_de_Caixa_Janeiro34[[#This Row],[Março]]</f>
        <v>0</v>
      </c>
      <c r="F56" s="62">
        <f>Fluxo_de_Caixa_Janeiro345[[#This Row],[ABRIL]]</f>
        <v>0</v>
      </c>
      <c r="G56" s="62">
        <f>Fluxo_de_Caixa_Janeiro3459[[#This Row],[MAIO]]</f>
        <v>0</v>
      </c>
      <c r="H56" s="62">
        <f>Fluxo_de_Caixa_Janeiro345911[[#This Row],[JUNHO]]</f>
        <v>0</v>
      </c>
      <c r="I56" s="35">
        <f>Fluxo_de_Caixa_Janeiro3459117[[#This Row],[JULHO]]</f>
        <v>0</v>
      </c>
      <c r="J56" s="62">
        <f>Fluxo_de_Caixa_Janeiro345911710[[#This Row],[AGOSTO]]</f>
        <v>0</v>
      </c>
      <c r="K56" s="62">
        <f>Fluxo_de_Caixa_Janeiro34591171012[[#This Row],[SETEMBRO]]</f>
        <v>0</v>
      </c>
      <c r="L56" s="62">
        <f>Fluxo_de_Caixa_Janeiro3459117101215[[#This Row],[OUTUBRO]]</f>
        <v>0</v>
      </c>
      <c r="M56" s="62">
        <f>Fluxo_de_Caixa_Janeiro345911710121516[[#This Row],[NOVEMBRO]]</f>
        <v>0</v>
      </c>
      <c r="N56" s="119">
        <f>Fluxo_de_Caixa_Janeiro34591171012151619[[#This Row],[DEZEMBRO]]</f>
        <v>0</v>
      </c>
      <c r="O56" s="219">
        <f>SUM(Fluxo_de_Caixa_Janeiro31020818[[#This Row],[Janeiro]:[Dezembro]])</f>
        <v>480</v>
      </c>
      <c r="P56" s="192">
        <f t="shared" si="3"/>
        <v>1.0357228626401166E-4</v>
      </c>
      <c r="Q56" s="192"/>
      <c r="R56" s="32" t="str">
        <f>IF(Fluxo_de_Caixa_Janeiro31020818[[#This Row],[% ACUMULADO  ANO 2026]]&lt;=Fluxo_de_Caixa_Janeiro31020818[[#This Row],[Coluna1]],"VERDADEIRO","FALSO")</f>
        <v>FALSO</v>
      </c>
      <c r="T56">
        <f>T55*20%</f>
        <v>30.217720000000003</v>
      </c>
    </row>
    <row r="57" spans="1:20" ht="15.75" customHeight="1" thickBot="1" x14ac:dyDescent="0.3">
      <c r="B57" s="52" t="str">
        <f>Fluxo_de_Caixa_Janeiro[[#This Row],[Fluxo de Caixa 2026 CTR]]</f>
        <v>2.1.05.TRANSFE DE MERCAD REVENDA MATRIZ</v>
      </c>
      <c r="C57" s="35">
        <f>Fluxo_de_Caixa_Janeiro[[#This Row],[Janeiro]]</f>
        <v>0</v>
      </c>
      <c r="D57" s="62">
        <f>Fluxo_de_Caixa_Janeiro3[[#This Row],[Fevereiro]]</f>
        <v>0</v>
      </c>
      <c r="E57" s="62">
        <f>Fluxo_de_Caixa_Janeiro34[[#This Row],[Março]]</f>
        <v>0</v>
      </c>
      <c r="F57" s="62">
        <f>Fluxo_de_Caixa_Janeiro345[[#This Row],[ABRIL]]</f>
        <v>0</v>
      </c>
      <c r="G57" s="62">
        <f>Fluxo_de_Caixa_Janeiro3459[[#This Row],[MAIO]]</f>
        <v>0</v>
      </c>
      <c r="H57" s="62">
        <f>Fluxo_de_Caixa_Janeiro345911[[#This Row],[JUNHO]]</f>
        <v>0</v>
      </c>
      <c r="I57" s="35">
        <f>Fluxo_de_Caixa_Janeiro3459117[[#This Row],[JULHO]]</f>
        <v>0</v>
      </c>
      <c r="J57" s="62">
        <f>Fluxo_de_Caixa_Janeiro345911710[[#This Row],[AGOSTO]]</f>
        <v>0</v>
      </c>
      <c r="K57" s="62">
        <f>Fluxo_de_Caixa_Janeiro34591171012[[#This Row],[SETEMBRO]]</f>
        <v>0</v>
      </c>
      <c r="L57" s="62">
        <f>Fluxo_de_Caixa_Janeiro3459117101215[[#This Row],[OUTUBRO]]</f>
        <v>0</v>
      </c>
      <c r="M57" s="62">
        <f>Fluxo_de_Caixa_Janeiro345911710121516[[#This Row],[NOVEMBRO]]</f>
        <v>0</v>
      </c>
      <c r="N57" s="119">
        <f>Fluxo_de_Caixa_Janeiro34591171012151619[[#This Row],[DEZEMBRO]]</f>
        <v>0</v>
      </c>
      <c r="O57" s="219">
        <f>SUM(Fluxo_de_Caixa_Janeiro31020818[[#This Row],[Janeiro]:[Dezembro]])</f>
        <v>0</v>
      </c>
      <c r="P57" s="192">
        <f t="shared" si="3"/>
        <v>0</v>
      </c>
      <c r="Q57" s="192"/>
      <c r="R57" s="32" t="str">
        <f>IF(Fluxo_de_Caixa_Janeiro31020818[[#This Row],[% ACUMULADO  ANO 2026]]&lt;=Fluxo_de_Caixa_Janeiro31020818[[#This Row],[Coluna1]],"VERDADEIRO","FALSO")</f>
        <v>VERDADEIRO</v>
      </c>
      <c r="T57">
        <f>T55-T56</f>
        <v>120.87088000000001</v>
      </c>
    </row>
    <row r="58" spans="1:20" hidden="1" x14ac:dyDescent="0.25">
      <c r="B58" s="52">
        <f>Fluxo_de_Caixa_Janeiro[[#This Row],[Fluxo de Caixa 2026 CTR]]</f>
        <v>0</v>
      </c>
      <c r="C58" s="35">
        <f>Fluxo_de_Caixa_Janeiro[[#This Row],[Janeiro]]</f>
        <v>0</v>
      </c>
      <c r="D58" s="62">
        <f>Fluxo_de_Caixa_Janeiro3[[#This Row],[Fevereiro]]</f>
        <v>0</v>
      </c>
      <c r="E58" s="62">
        <f>Fluxo_de_Caixa_Janeiro34[[#This Row],[Março]]</f>
        <v>0</v>
      </c>
      <c r="F58" s="62">
        <f>Fluxo_de_Caixa_Janeiro345[[#This Row],[ABRIL]]</f>
        <v>0</v>
      </c>
      <c r="G58" s="62">
        <f>Fluxo_de_Caixa_Janeiro3459[[#This Row],[MAIO]]</f>
        <v>0</v>
      </c>
      <c r="H58" s="62">
        <f>Fluxo_de_Caixa_Janeiro345911[[#This Row],[JUNHO]]</f>
        <v>0</v>
      </c>
      <c r="I58" s="35">
        <f>Fluxo_de_Caixa_Janeiro3459117[[#This Row],[JULHO]]</f>
        <v>0</v>
      </c>
      <c r="J58" s="62">
        <f>Fluxo_de_Caixa_Janeiro345911710[[#This Row],[AGOSTO]]</f>
        <v>0</v>
      </c>
      <c r="K58" s="62">
        <f>Fluxo_de_Caixa_Janeiro34591171012[[#This Row],[SETEMBRO]]</f>
        <v>0</v>
      </c>
      <c r="L58" s="62">
        <f>Fluxo_de_Caixa_Janeiro3459117101215[[#This Row],[OUTUBRO]]</f>
        <v>0</v>
      </c>
      <c r="M58" s="62">
        <f>Fluxo_de_Caixa_Janeiro345911710121516[[#This Row],[NOVEMBRO]]</f>
        <v>0</v>
      </c>
      <c r="N58" s="119">
        <f>Fluxo_de_Caixa_Janeiro34591171012151619[[#This Row],[DEZEMBRO]]</f>
        <v>0</v>
      </c>
      <c r="O58" s="219">
        <f>SUM(Fluxo_de_Caixa_Janeiro31020818[[#This Row],[Janeiro]:[Dezembro]])</f>
        <v>0</v>
      </c>
      <c r="P58" s="192">
        <f t="shared" si="3"/>
        <v>0</v>
      </c>
      <c r="Q58" s="192"/>
      <c r="R58" s="32" t="str">
        <f>IF(Fluxo_de_Caixa_Janeiro31020818[[#This Row],[% ACUMULADO  ANO 2026]]&lt;=Fluxo_de_Caixa_Janeiro31020818[[#This Row],[Coluna1]],"VERDADEIRO","FALSO")</f>
        <v>VERDADEIRO</v>
      </c>
    </row>
    <row r="59" spans="1:20" ht="15.75" hidden="1" thickBot="1" x14ac:dyDescent="0.3">
      <c r="B59" s="167">
        <f>Fluxo_de_Caixa_Janeiro[[#This Row],[Fluxo de Caixa 2026 CTR]]</f>
        <v>0</v>
      </c>
      <c r="C59" s="36">
        <f>Fluxo_de_Caixa_Janeiro[[#This Row],[Janeiro]]</f>
        <v>0</v>
      </c>
      <c r="D59" s="82">
        <f>Fluxo_de_Caixa_Janeiro3[[#This Row],[Fevereiro]]</f>
        <v>0</v>
      </c>
      <c r="E59" s="82">
        <f>Fluxo_de_Caixa_Janeiro34[[#This Row],[Março]]</f>
        <v>0</v>
      </c>
      <c r="F59" s="82">
        <f>Fluxo_de_Caixa_Janeiro345[[#This Row],[ABRIL]]</f>
        <v>0</v>
      </c>
      <c r="G59" s="82">
        <f>Fluxo_de_Caixa_Janeiro3459[[#This Row],[MAIO]]</f>
        <v>0</v>
      </c>
      <c r="H59" s="82">
        <f>Fluxo_de_Caixa_Janeiro345911[[#This Row],[JUNHO]]</f>
        <v>0</v>
      </c>
      <c r="I59" s="36">
        <f>Fluxo_de_Caixa_Janeiro3459117[[#This Row],[JULHO]]</f>
        <v>0</v>
      </c>
      <c r="J59" s="82">
        <f>Fluxo_de_Caixa_Janeiro345911710[[#This Row],[AGOSTO]]</f>
        <v>0</v>
      </c>
      <c r="K59" s="82">
        <f>Fluxo_de_Caixa_Janeiro34591171012[[#This Row],[SETEMBRO]]</f>
        <v>0</v>
      </c>
      <c r="L59" s="82">
        <f>Fluxo_de_Caixa_Janeiro3459117101215[[#This Row],[OUTUBRO]]</f>
        <v>0</v>
      </c>
      <c r="M59" s="82">
        <f>Fluxo_de_Caixa_Janeiro345911710121516[[#This Row],[NOVEMBRO]]</f>
        <v>0</v>
      </c>
      <c r="N59" s="120">
        <f>Fluxo_de_Caixa_Janeiro34591171012151619[[#This Row],[DEZEMBRO]]</f>
        <v>0</v>
      </c>
      <c r="O59" s="220">
        <f>SUM(Fluxo_de_Caixa_Janeiro31020818[[#This Row],[Janeiro]:[Dezembro]])</f>
        <v>0</v>
      </c>
      <c r="P59" s="192">
        <f t="shared" si="3"/>
        <v>0</v>
      </c>
      <c r="Q59" s="192"/>
      <c r="R59" s="32" t="str">
        <f>IF(Fluxo_de_Caixa_Janeiro31020818[[#This Row],[% ACUMULADO  ANO 2026]]&lt;=Fluxo_de_Caixa_Janeiro31020818[[#This Row],[Coluna1]],"VERDADEIRO","FALSO")</f>
        <v>VERDADEIRO</v>
      </c>
    </row>
    <row r="60" spans="1:20" s="2" customFormat="1" ht="24" thickBot="1" x14ac:dyDescent="0.4">
      <c r="A60" s="12" t="s">
        <v>10</v>
      </c>
      <c r="B60" s="53" t="str">
        <f>Fluxo_de_Caixa_Janeiro[[#This Row],[Fluxo de Caixa 2026 CTR]]</f>
        <v>2.2. Inadimplência e Perdas</v>
      </c>
      <c r="C60" s="42">
        <f>Fluxo_de_Caixa_Janeiro[[#This Row],[Janeiro]]</f>
        <v>0</v>
      </c>
      <c r="D60" s="88">
        <f>Fluxo_de_Caixa_Janeiro3[[#This Row],[Fevereiro]]</f>
        <v>-57235.670000000006</v>
      </c>
      <c r="E60" s="88">
        <f>Fluxo_de_Caixa_Janeiro34[[#This Row],[Março]]</f>
        <v>0</v>
      </c>
      <c r="F60" s="88">
        <f>Fluxo_de_Caixa_Janeiro345[[#This Row],[ABRIL]]</f>
        <v>0</v>
      </c>
      <c r="G60" s="88">
        <f>Fluxo_de_Caixa_Janeiro3459[[#This Row],[MAIO]]</f>
        <v>-4302.38</v>
      </c>
      <c r="H60" s="88">
        <f>Fluxo_de_Caixa_Janeiro345911[[#This Row],[JUNHO]]</f>
        <v>0</v>
      </c>
      <c r="I60" s="42">
        <f>Fluxo_de_Caixa_Janeiro3459117[[#This Row],[JULHO]]</f>
        <v>0</v>
      </c>
      <c r="J60" s="88">
        <f>Fluxo_de_Caixa_Janeiro345911710[[#This Row],[AGOSTO]]</f>
        <v>0</v>
      </c>
      <c r="K60" s="88">
        <f>Fluxo_de_Caixa_Janeiro34591171012[[#This Row],[SETEMBRO]]</f>
        <v>0</v>
      </c>
      <c r="L60" s="88">
        <f>Fluxo_de_Caixa_Janeiro3459117101215[[#This Row],[OUTUBRO]]</f>
        <v>0</v>
      </c>
      <c r="M60" s="88">
        <f>Fluxo_de_Caixa_Janeiro345911710121516[[#This Row],[NOVEMBRO]]</f>
        <v>0</v>
      </c>
      <c r="N60" s="126">
        <f>Fluxo_de_Caixa_Janeiro34591171012151619[[#This Row],[DEZEMBRO]]</f>
        <v>0</v>
      </c>
      <c r="O60" s="217">
        <f>SUM(Fluxo_de_Caixa_Janeiro31020818[[#This Row],[Janeiro]:[Dezembro]])</f>
        <v>-61538.05</v>
      </c>
      <c r="P60" s="21">
        <f>-IFERROR(O60/$O$27,"0,00")</f>
        <v>1.327840943901888E-2</v>
      </c>
      <c r="Q60" s="21"/>
      <c r="R60" s="32" t="str">
        <f>IF(Fluxo_de_Caixa_Janeiro31020818[[#This Row],[% ACUMULADO  ANO 2026]]&lt;=Fluxo_de_Caixa_Janeiro31020818[[#This Row],[Coluna1]],"VERDADEIRO","FALSO")</f>
        <v>FALSO</v>
      </c>
    </row>
    <row r="61" spans="1:20" x14ac:dyDescent="0.25">
      <c r="B61" s="166" t="str">
        <f>Fluxo_de_Caixa_Janeiro[[#This Row],[Fluxo de Caixa 2026 CTR]]</f>
        <v>2.2.01.CONTAS PERDIDAS/NÃO PAGAS</v>
      </c>
      <c r="C61" s="41">
        <f>Fluxo_de_Caixa_Janeiro[[#This Row],[Janeiro]]</f>
        <v>0</v>
      </c>
      <c r="D61" s="81">
        <f>Fluxo_de_Caixa_Janeiro3[[#This Row],[Fevereiro]]</f>
        <v>57235.670000000006</v>
      </c>
      <c r="E61" s="81">
        <f>Fluxo_de_Caixa_Janeiro34[[#This Row],[Março]]</f>
        <v>0</v>
      </c>
      <c r="F61" s="81">
        <f>Fluxo_de_Caixa_Janeiro345[[#This Row],[ABRIL]]</f>
        <v>0</v>
      </c>
      <c r="G61" s="81">
        <f>Fluxo_de_Caixa_Janeiro3459[[#This Row],[MAIO]]</f>
        <v>0</v>
      </c>
      <c r="H61" s="81">
        <f>Fluxo_de_Caixa_Janeiro345911[[#This Row],[JUNHO]]</f>
        <v>0</v>
      </c>
      <c r="I61" s="41">
        <f>Fluxo_de_Caixa_Janeiro3459117[[#This Row],[JULHO]]</f>
        <v>0</v>
      </c>
      <c r="J61" s="81">
        <f>Fluxo_de_Caixa_Janeiro345911710[[#This Row],[AGOSTO]]</f>
        <v>0</v>
      </c>
      <c r="K61" s="81">
        <f>Fluxo_de_Caixa_Janeiro34591171012[[#This Row],[SETEMBRO]]</f>
        <v>0</v>
      </c>
      <c r="L61" s="81">
        <f>Fluxo_de_Caixa_Janeiro3459117101215[[#This Row],[OUTUBRO]]</f>
        <v>0</v>
      </c>
      <c r="M61" s="81">
        <f>Fluxo_de_Caixa_Janeiro345911710121516[[#This Row],[NOVEMBRO]]</f>
        <v>0</v>
      </c>
      <c r="N61" s="118">
        <f>Fluxo_de_Caixa_Janeiro34591171012151619[[#This Row],[DEZEMBRO]]</f>
        <v>0</v>
      </c>
      <c r="O61" s="218">
        <f>SUM(Fluxo_de_Caixa_Janeiro31020818[[#This Row],[Janeiro]:[Dezembro]])</f>
        <v>57235.670000000006</v>
      </c>
      <c r="P61" s="192">
        <f t="shared" ref="P61:P69" si="4">IFERROR(O61/$O$27,"0,00%")</f>
        <v>1.2350060828651052E-2</v>
      </c>
      <c r="Q61" s="192"/>
      <c r="R61" s="32" t="str">
        <f>IF(Fluxo_de_Caixa_Janeiro31020818[[#This Row],[% ACUMULADO  ANO 2026]]&lt;=Fluxo_de_Caixa_Janeiro31020818[[#This Row],[Coluna1]],"VERDADEIRO","FALSO")</f>
        <v>FALSO</v>
      </c>
    </row>
    <row r="62" spans="1:20" x14ac:dyDescent="0.25">
      <c r="B62" s="52" t="str">
        <f>Fluxo_de_Caixa_Janeiro[[#This Row],[Fluxo de Caixa 2026 CTR]]</f>
        <v>2.2.02.BOLETOS DESCONTADOS DEVOLVIDOS</v>
      </c>
      <c r="C62" s="35">
        <f>Fluxo_de_Caixa_Janeiro[[#This Row],[Janeiro]]</f>
        <v>0</v>
      </c>
      <c r="D62" s="62">
        <f>Fluxo_de_Caixa_Janeiro3[[#This Row],[Fevereiro]]</f>
        <v>0</v>
      </c>
      <c r="E62" s="62">
        <f>Fluxo_de_Caixa_Janeiro34[[#This Row],[Março]]</f>
        <v>0</v>
      </c>
      <c r="F62" s="62">
        <f>Fluxo_de_Caixa_Janeiro345[[#This Row],[ABRIL]]</f>
        <v>0</v>
      </c>
      <c r="G62" s="62">
        <f>Fluxo_de_Caixa_Janeiro3459[[#This Row],[MAIO]]</f>
        <v>0</v>
      </c>
      <c r="H62" s="62">
        <f>Fluxo_de_Caixa_Janeiro345911[[#This Row],[JUNHO]]</f>
        <v>0</v>
      </c>
      <c r="I62" s="35">
        <f>Fluxo_de_Caixa_Janeiro3459117[[#This Row],[JULHO]]</f>
        <v>0</v>
      </c>
      <c r="J62" s="62">
        <f>Fluxo_de_Caixa_Janeiro345911710[[#This Row],[AGOSTO]]</f>
        <v>0</v>
      </c>
      <c r="K62" s="62">
        <f>Fluxo_de_Caixa_Janeiro34591171012[[#This Row],[SETEMBRO]]</f>
        <v>0</v>
      </c>
      <c r="L62" s="62">
        <f>Fluxo_de_Caixa_Janeiro3459117101215[[#This Row],[OUTUBRO]]</f>
        <v>0</v>
      </c>
      <c r="M62" s="62">
        <f>Fluxo_de_Caixa_Janeiro345911710121516[[#This Row],[NOVEMBRO]]</f>
        <v>0</v>
      </c>
      <c r="N62" s="119">
        <f>Fluxo_de_Caixa_Janeiro34591171012151619[[#This Row],[DEZEMBRO]]</f>
        <v>0</v>
      </c>
      <c r="O62" s="219">
        <f>SUM(Fluxo_de_Caixa_Janeiro31020818[[#This Row],[Janeiro]:[Dezembro]])</f>
        <v>0</v>
      </c>
      <c r="P62" s="192">
        <f t="shared" si="4"/>
        <v>0</v>
      </c>
      <c r="Q62" s="192"/>
      <c r="R62" s="32" t="str">
        <f>IF(Fluxo_de_Caixa_Janeiro31020818[[#This Row],[% ACUMULADO  ANO 2026]]&lt;=Fluxo_de_Caixa_Janeiro31020818[[#This Row],[Coluna1]],"VERDADEIRO","FALSO")</f>
        <v>VERDADEIRO</v>
      </c>
    </row>
    <row r="63" spans="1:20" x14ac:dyDescent="0.25">
      <c r="B63" s="52" t="str">
        <f>Fluxo_de_Caixa_Janeiro[[#This Row],[Fluxo de Caixa 2026 CTR]]</f>
        <v>2.2.03.CHEQUES DEVOLVIDOS</v>
      </c>
      <c r="C63" s="35">
        <f>Fluxo_de_Caixa_Janeiro[[#This Row],[Janeiro]]</f>
        <v>0</v>
      </c>
      <c r="D63" s="62">
        <f>Fluxo_de_Caixa_Janeiro3[[#This Row],[Fevereiro]]</f>
        <v>0</v>
      </c>
      <c r="E63" s="62">
        <f>Fluxo_de_Caixa_Janeiro34[[#This Row],[Março]]</f>
        <v>0</v>
      </c>
      <c r="F63" s="62">
        <f>Fluxo_de_Caixa_Janeiro345[[#This Row],[ABRIL]]</f>
        <v>0</v>
      </c>
      <c r="G63" s="62">
        <f>Fluxo_de_Caixa_Janeiro3459[[#This Row],[MAIO]]</f>
        <v>0</v>
      </c>
      <c r="H63" s="62">
        <f>Fluxo_de_Caixa_Janeiro345911[[#This Row],[JUNHO]]</f>
        <v>0</v>
      </c>
      <c r="I63" s="35">
        <f>Fluxo_de_Caixa_Janeiro3459117[[#This Row],[JULHO]]</f>
        <v>0</v>
      </c>
      <c r="J63" s="62">
        <f>Fluxo_de_Caixa_Janeiro345911710[[#This Row],[AGOSTO]]</f>
        <v>0</v>
      </c>
      <c r="K63" s="62">
        <f>Fluxo_de_Caixa_Janeiro34591171012[[#This Row],[SETEMBRO]]</f>
        <v>0</v>
      </c>
      <c r="L63" s="62">
        <f>Fluxo_de_Caixa_Janeiro3459117101215[[#This Row],[OUTUBRO]]</f>
        <v>0</v>
      </c>
      <c r="M63" s="62">
        <f>Fluxo_de_Caixa_Janeiro345911710121516[[#This Row],[NOVEMBRO]]</f>
        <v>0</v>
      </c>
      <c r="N63" s="119">
        <f>Fluxo_de_Caixa_Janeiro34591171012151619[[#This Row],[DEZEMBRO]]</f>
        <v>0</v>
      </c>
      <c r="O63" s="219">
        <f>SUM(Fluxo_de_Caixa_Janeiro31020818[[#This Row],[Janeiro]:[Dezembro]])</f>
        <v>0</v>
      </c>
      <c r="P63" s="192">
        <f t="shared" si="4"/>
        <v>0</v>
      </c>
      <c r="Q63" s="192"/>
      <c r="R63" s="32" t="str">
        <f>IF(Fluxo_de_Caixa_Janeiro31020818[[#This Row],[% ACUMULADO  ANO 2026]]&lt;=Fluxo_de_Caixa_Janeiro31020818[[#This Row],[Coluna1]],"VERDADEIRO","FALSO")</f>
        <v>VERDADEIRO</v>
      </c>
    </row>
    <row r="64" spans="1:20" x14ac:dyDescent="0.25">
      <c r="B64" s="52" t="str">
        <f>Fluxo_de_Caixa_Janeiro[[#This Row],[Fluxo de Caixa 2026 CTR]]</f>
        <v>2.2.04.BOLETOS DESCONTADOS DEVOLVIDOS</v>
      </c>
      <c r="C64" s="35">
        <f>Fluxo_de_Caixa_Janeiro[[#This Row],[Janeiro]]</f>
        <v>0</v>
      </c>
      <c r="D64" s="62">
        <f>Fluxo_de_Caixa_Janeiro3[[#This Row],[Fevereiro]]</f>
        <v>0</v>
      </c>
      <c r="E64" s="62">
        <f>Fluxo_de_Caixa_Janeiro34[[#This Row],[Março]]</f>
        <v>0</v>
      </c>
      <c r="F64" s="62">
        <f>Fluxo_de_Caixa_Janeiro345[[#This Row],[ABRIL]]</f>
        <v>0</v>
      </c>
      <c r="G64" s="62">
        <f>Fluxo_de_Caixa_Janeiro3459[[#This Row],[MAIO]]</f>
        <v>0</v>
      </c>
      <c r="H64" s="62">
        <f>Fluxo_de_Caixa_Janeiro345911[[#This Row],[JUNHO]]</f>
        <v>0</v>
      </c>
      <c r="I64" s="35">
        <f>Fluxo_de_Caixa_Janeiro3459117[[#This Row],[JULHO]]</f>
        <v>0</v>
      </c>
      <c r="J64" s="62">
        <f>Fluxo_de_Caixa_Janeiro345911710[[#This Row],[AGOSTO]]</f>
        <v>0</v>
      </c>
      <c r="K64" s="62">
        <f>Fluxo_de_Caixa_Janeiro34591171012[[#This Row],[SETEMBRO]]</f>
        <v>0</v>
      </c>
      <c r="L64" s="62">
        <f>Fluxo_de_Caixa_Janeiro3459117101215[[#This Row],[OUTUBRO]]</f>
        <v>0</v>
      </c>
      <c r="M64" s="62">
        <f>Fluxo_de_Caixa_Janeiro345911710121516[[#This Row],[NOVEMBRO]]</f>
        <v>0</v>
      </c>
      <c r="N64" s="119">
        <f>Fluxo_de_Caixa_Janeiro34591171012151619[[#This Row],[DEZEMBRO]]</f>
        <v>0</v>
      </c>
      <c r="O64" s="219">
        <f>SUM(Fluxo_de_Caixa_Janeiro31020818[[#This Row],[Janeiro]:[Dezembro]])</f>
        <v>0</v>
      </c>
      <c r="P64" s="192">
        <f t="shared" si="4"/>
        <v>0</v>
      </c>
      <c r="Q64" s="192"/>
      <c r="R64" s="32" t="str">
        <f>IF(Fluxo_de_Caixa_Janeiro31020818[[#This Row],[% ACUMULADO  ANO 2026]]&lt;=Fluxo_de_Caixa_Janeiro31020818[[#This Row],[Coluna1]],"VERDADEIRO","FALSO")</f>
        <v>VERDADEIRO</v>
      </c>
    </row>
    <row r="65" spans="1:20" ht="15.75" thickBot="1" x14ac:dyDescent="0.3">
      <c r="B65" s="52" t="str">
        <f>Fluxo_de_Caixa_Janeiro[[#This Row],[Fluxo de Caixa 2026 CTR]]</f>
        <v>2.2.05.PERDA,  ROUBO  E  DETERIORAÇÃO</v>
      </c>
      <c r="C65" s="35">
        <f>Fluxo_de_Caixa_Janeiro[[#This Row],[Janeiro]]</f>
        <v>0</v>
      </c>
      <c r="D65" s="62">
        <f>Fluxo_de_Caixa_Janeiro3[[#This Row],[Fevereiro]]</f>
        <v>0</v>
      </c>
      <c r="E65" s="62">
        <f>Fluxo_de_Caixa_Janeiro34[[#This Row],[Março]]</f>
        <v>0</v>
      </c>
      <c r="F65" s="62">
        <f>Fluxo_de_Caixa_Janeiro345[[#This Row],[ABRIL]]</f>
        <v>0</v>
      </c>
      <c r="G65" s="62">
        <f>Fluxo_de_Caixa_Janeiro3459[[#This Row],[MAIO]]</f>
        <v>4302.38</v>
      </c>
      <c r="H65" s="62">
        <f>Fluxo_de_Caixa_Janeiro345911[[#This Row],[JUNHO]]</f>
        <v>0</v>
      </c>
      <c r="I65" s="35">
        <f>Fluxo_de_Caixa_Janeiro3459117[[#This Row],[JULHO]]</f>
        <v>0</v>
      </c>
      <c r="J65" s="62">
        <f>Fluxo_de_Caixa_Janeiro345911710[[#This Row],[AGOSTO]]</f>
        <v>0</v>
      </c>
      <c r="K65" s="62">
        <f>Fluxo_de_Caixa_Janeiro34591171012[[#This Row],[SETEMBRO]]</f>
        <v>0</v>
      </c>
      <c r="L65" s="62">
        <f>Fluxo_de_Caixa_Janeiro3459117101215[[#This Row],[OUTUBRO]]</f>
        <v>0</v>
      </c>
      <c r="M65" s="62">
        <f>Fluxo_de_Caixa_Janeiro345911710121516[[#This Row],[NOVEMBRO]]</f>
        <v>0</v>
      </c>
      <c r="N65" s="119">
        <f>Fluxo_de_Caixa_Janeiro34591171012151619[[#This Row],[DEZEMBRO]]</f>
        <v>0</v>
      </c>
      <c r="O65" s="219">
        <f>SUM(Fluxo_de_Caixa_Janeiro31020818[[#This Row],[Janeiro]:[Dezembro]])</f>
        <v>4302.38</v>
      </c>
      <c r="P65" s="192">
        <f t="shared" si="4"/>
        <v>9.2834861036783013E-4</v>
      </c>
      <c r="Q65" s="192"/>
      <c r="R65" s="32" t="str">
        <f>IF(Fluxo_de_Caixa_Janeiro31020818[[#This Row],[% ACUMULADO  ANO 2026]]&lt;=Fluxo_de_Caixa_Janeiro31020818[[#This Row],[Coluna1]],"VERDADEIRO","FALSO")</f>
        <v>FALSO</v>
      </c>
    </row>
    <row r="66" spans="1:20" hidden="1" x14ac:dyDescent="0.25">
      <c r="B66" s="52">
        <f>Fluxo_de_Caixa_Janeiro[[#This Row],[Fluxo de Caixa 2026 CTR]]</f>
        <v>0</v>
      </c>
      <c r="C66" s="35">
        <f>Fluxo_de_Caixa_Janeiro[[#This Row],[Janeiro]]</f>
        <v>0</v>
      </c>
      <c r="D66" s="62">
        <f>Fluxo_de_Caixa_Janeiro3[[#This Row],[Fevereiro]]</f>
        <v>0</v>
      </c>
      <c r="E66" s="62">
        <f>Fluxo_de_Caixa_Janeiro34[[#This Row],[Março]]</f>
        <v>0</v>
      </c>
      <c r="F66" s="62">
        <f>Fluxo_de_Caixa_Janeiro345[[#This Row],[ABRIL]]</f>
        <v>0</v>
      </c>
      <c r="G66" s="62">
        <f>Fluxo_de_Caixa_Janeiro3459[[#This Row],[MAIO]]</f>
        <v>0</v>
      </c>
      <c r="H66" s="62">
        <f>Fluxo_de_Caixa_Janeiro345911[[#This Row],[JUNHO]]</f>
        <v>0</v>
      </c>
      <c r="I66" s="35">
        <f>Fluxo_de_Caixa_Janeiro3459117[[#This Row],[JULHO]]</f>
        <v>0</v>
      </c>
      <c r="J66" s="62">
        <f>Fluxo_de_Caixa_Janeiro345911710[[#This Row],[AGOSTO]]</f>
        <v>0</v>
      </c>
      <c r="K66" s="62">
        <f>Fluxo_de_Caixa_Janeiro34591171012[[#This Row],[SETEMBRO]]</f>
        <v>0</v>
      </c>
      <c r="L66" s="62">
        <f>Fluxo_de_Caixa_Janeiro3459117101215[[#This Row],[OUTUBRO]]</f>
        <v>0</v>
      </c>
      <c r="M66" s="62">
        <f>Fluxo_de_Caixa_Janeiro345911710121516[[#This Row],[NOVEMBRO]]</f>
        <v>0</v>
      </c>
      <c r="N66" s="119">
        <f>Fluxo_de_Caixa_Janeiro34591171012151619[[#This Row],[DEZEMBRO]]</f>
        <v>0</v>
      </c>
      <c r="O66" s="219">
        <f>SUM(Fluxo_de_Caixa_Janeiro31020818[[#This Row],[Janeiro]:[Dezembro]])</f>
        <v>0</v>
      </c>
      <c r="P66" s="192">
        <f t="shared" si="4"/>
        <v>0</v>
      </c>
      <c r="Q66" s="192"/>
      <c r="R66" s="32" t="str">
        <f>IF(Fluxo_de_Caixa_Janeiro31020818[[#This Row],[% ACUMULADO  ANO 2026]]&lt;=Fluxo_de_Caixa_Janeiro31020818[[#This Row],[Coluna1]],"VERDADEIRO","FALSO")</f>
        <v>VERDADEIRO</v>
      </c>
    </row>
    <row r="67" spans="1:20" hidden="1" x14ac:dyDescent="0.25">
      <c r="B67" s="52">
        <f>Fluxo_de_Caixa_Janeiro[[#This Row],[Fluxo de Caixa 2026 CTR]]</f>
        <v>0</v>
      </c>
      <c r="C67" s="35">
        <f>Fluxo_de_Caixa_Janeiro[[#This Row],[Janeiro]]</f>
        <v>0</v>
      </c>
      <c r="D67" s="62">
        <f>Fluxo_de_Caixa_Janeiro3[[#This Row],[Fevereiro]]</f>
        <v>0</v>
      </c>
      <c r="E67" s="62">
        <f>Fluxo_de_Caixa_Janeiro34[[#This Row],[Março]]</f>
        <v>0</v>
      </c>
      <c r="F67" s="62">
        <f>Fluxo_de_Caixa_Janeiro345[[#This Row],[ABRIL]]</f>
        <v>0</v>
      </c>
      <c r="G67" s="62">
        <f>Fluxo_de_Caixa_Janeiro3459[[#This Row],[MAIO]]</f>
        <v>0</v>
      </c>
      <c r="H67" s="62">
        <f>Fluxo_de_Caixa_Janeiro345911[[#This Row],[JUNHO]]</f>
        <v>0</v>
      </c>
      <c r="I67" s="35">
        <f>Fluxo_de_Caixa_Janeiro3459117[[#This Row],[JULHO]]</f>
        <v>0</v>
      </c>
      <c r="J67" s="62">
        <f>Fluxo_de_Caixa_Janeiro345911710[[#This Row],[AGOSTO]]</f>
        <v>0</v>
      </c>
      <c r="K67" s="62">
        <f>Fluxo_de_Caixa_Janeiro34591171012[[#This Row],[SETEMBRO]]</f>
        <v>0</v>
      </c>
      <c r="L67" s="62">
        <f>Fluxo_de_Caixa_Janeiro3459117101215[[#This Row],[OUTUBRO]]</f>
        <v>0</v>
      </c>
      <c r="M67" s="62">
        <f>Fluxo_de_Caixa_Janeiro345911710121516[[#This Row],[NOVEMBRO]]</f>
        <v>0</v>
      </c>
      <c r="N67" s="119">
        <f>Fluxo_de_Caixa_Janeiro34591171012151619[[#This Row],[DEZEMBRO]]</f>
        <v>0</v>
      </c>
      <c r="O67" s="219">
        <f>SUM(Fluxo_de_Caixa_Janeiro31020818[[#This Row],[Janeiro]:[Dezembro]])</f>
        <v>0</v>
      </c>
      <c r="P67" s="192">
        <f t="shared" si="4"/>
        <v>0</v>
      </c>
      <c r="Q67" s="192"/>
      <c r="R67" s="32" t="str">
        <f>IF(Fluxo_de_Caixa_Janeiro31020818[[#This Row],[% ACUMULADO  ANO 2026]]&lt;=Fluxo_de_Caixa_Janeiro31020818[[#This Row],[Coluna1]],"VERDADEIRO","FALSO")</f>
        <v>VERDADEIRO</v>
      </c>
    </row>
    <row r="68" spans="1:20" hidden="1" x14ac:dyDescent="0.25">
      <c r="B68" s="52">
        <f>Fluxo_de_Caixa_Janeiro[[#This Row],[Fluxo de Caixa 2026 CTR]]</f>
        <v>0</v>
      </c>
      <c r="C68" s="35">
        <f>Fluxo_de_Caixa_Janeiro[[#This Row],[Janeiro]]</f>
        <v>0</v>
      </c>
      <c r="D68" s="62">
        <f>Fluxo_de_Caixa_Janeiro3[[#This Row],[Fevereiro]]</f>
        <v>0</v>
      </c>
      <c r="E68" s="62">
        <f>Fluxo_de_Caixa_Janeiro34[[#This Row],[Março]]</f>
        <v>0</v>
      </c>
      <c r="F68" s="62">
        <f>Fluxo_de_Caixa_Janeiro345[[#This Row],[ABRIL]]</f>
        <v>0</v>
      </c>
      <c r="G68" s="62">
        <f>Fluxo_de_Caixa_Janeiro3459[[#This Row],[MAIO]]</f>
        <v>0</v>
      </c>
      <c r="H68" s="62">
        <f>Fluxo_de_Caixa_Janeiro345911[[#This Row],[JUNHO]]</f>
        <v>0</v>
      </c>
      <c r="I68" s="35">
        <f>Fluxo_de_Caixa_Janeiro3459117[[#This Row],[JULHO]]</f>
        <v>0</v>
      </c>
      <c r="J68" s="62">
        <f>Fluxo_de_Caixa_Janeiro345911710[[#This Row],[AGOSTO]]</f>
        <v>0</v>
      </c>
      <c r="K68" s="62">
        <f>Fluxo_de_Caixa_Janeiro34591171012[[#This Row],[SETEMBRO]]</f>
        <v>0</v>
      </c>
      <c r="L68" s="62">
        <f>Fluxo_de_Caixa_Janeiro3459117101215[[#This Row],[OUTUBRO]]</f>
        <v>0</v>
      </c>
      <c r="M68" s="62">
        <f>Fluxo_de_Caixa_Janeiro345911710121516[[#This Row],[NOVEMBRO]]</f>
        <v>0</v>
      </c>
      <c r="N68" s="119">
        <f>Fluxo_de_Caixa_Janeiro34591171012151619[[#This Row],[DEZEMBRO]]</f>
        <v>0</v>
      </c>
      <c r="O68" s="219">
        <f>SUM(Fluxo_de_Caixa_Janeiro31020818[[#This Row],[Janeiro]:[Dezembro]])</f>
        <v>0</v>
      </c>
      <c r="P68" s="192">
        <f t="shared" si="4"/>
        <v>0</v>
      </c>
      <c r="Q68" s="192"/>
      <c r="R68" s="32" t="str">
        <f>IF(Fluxo_de_Caixa_Janeiro31020818[[#This Row],[% ACUMULADO  ANO 2026]]&lt;=Fluxo_de_Caixa_Janeiro31020818[[#This Row],[Coluna1]],"VERDADEIRO","FALSO")</f>
        <v>VERDADEIRO</v>
      </c>
    </row>
    <row r="69" spans="1:20" ht="15.75" hidden="1" thickBot="1" x14ac:dyDescent="0.3">
      <c r="B69" s="167">
        <f>Fluxo_de_Caixa_Janeiro[[#This Row],[Fluxo de Caixa 2026 CTR]]</f>
        <v>0</v>
      </c>
      <c r="C69" s="36">
        <f>Fluxo_de_Caixa_Janeiro[[#This Row],[Janeiro]]</f>
        <v>0</v>
      </c>
      <c r="D69" s="82">
        <f>Fluxo_de_Caixa_Janeiro3[[#This Row],[Fevereiro]]</f>
        <v>0</v>
      </c>
      <c r="E69" s="82">
        <f>Fluxo_de_Caixa_Janeiro34[[#This Row],[Março]]</f>
        <v>0</v>
      </c>
      <c r="F69" s="82">
        <f>Fluxo_de_Caixa_Janeiro345[[#This Row],[ABRIL]]</f>
        <v>0</v>
      </c>
      <c r="G69" s="82">
        <f>Fluxo_de_Caixa_Janeiro3459[[#This Row],[MAIO]]</f>
        <v>0</v>
      </c>
      <c r="H69" s="82">
        <f>Fluxo_de_Caixa_Janeiro345911[[#This Row],[JUNHO]]</f>
        <v>0</v>
      </c>
      <c r="I69" s="36">
        <f>Fluxo_de_Caixa_Janeiro3459117[[#This Row],[JULHO]]</f>
        <v>0</v>
      </c>
      <c r="J69" s="82">
        <f>Fluxo_de_Caixa_Janeiro345911710[[#This Row],[AGOSTO]]</f>
        <v>0</v>
      </c>
      <c r="K69" s="82">
        <f>Fluxo_de_Caixa_Janeiro34591171012[[#This Row],[SETEMBRO]]</f>
        <v>0</v>
      </c>
      <c r="L69" s="82">
        <f>Fluxo_de_Caixa_Janeiro3459117101215[[#This Row],[OUTUBRO]]</f>
        <v>0</v>
      </c>
      <c r="M69" s="82">
        <f>Fluxo_de_Caixa_Janeiro345911710121516[[#This Row],[NOVEMBRO]]</f>
        <v>0</v>
      </c>
      <c r="N69" s="120">
        <f>Fluxo_de_Caixa_Janeiro34591171012151619[[#This Row],[DEZEMBRO]]</f>
        <v>0</v>
      </c>
      <c r="O69" s="220">
        <f>SUM(Fluxo_de_Caixa_Janeiro31020818[[#This Row],[Janeiro]:[Dezembro]])</f>
        <v>0</v>
      </c>
      <c r="P69" s="192">
        <f t="shared" si="4"/>
        <v>0</v>
      </c>
      <c r="Q69" s="192"/>
      <c r="R69" s="32" t="str">
        <f>IF(Fluxo_de_Caixa_Janeiro31020818[[#This Row],[% ACUMULADO  ANO 2026]]&lt;=Fluxo_de_Caixa_Janeiro31020818[[#This Row],[Coluna1]],"VERDADEIRO","FALSO")</f>
        <v>VERDADEIRO</v>
      </c>
    </row>
    <row r="70" spans="1:20" s="3" customFormat="1" ht="24" thickBot="1" x14ac:dyDescent="0.4">
      <c r="A70" s="13" t="s">
        <v>9</v>
      </c>
      <c r="B70" s="53" t="str">
        <f>Fluxo_de_Caixa_Janeiro[[#This Row],[Fluxo de Caixa 2026 CTR]]</f>
        <v>2.3. Impostos</v>
      </c>
      <c r="C70" s="43">
        <f>Fluxo_de_Caixa_Janeiro[[#This Row],[Janeiro]]</f>
        <v>-57986.559999999998</v>
      </c>
      <c r="D70" s="91">
        <f>Fluxo_de_Caixa_Janeiro3[[#This Row],[Fevereiro]]</f>
        <v>-176996.86</v>
      </c>
      <c r="E70" s="91">
        <f>Fluxo_de_Caixa_Janeiro34[[#This Row],[Março]]</f>
        <v>-73559.849999999991</v>
      </c>
      <c r="F70" s="91">
        <f>Fluxo_de_Caixa_Janeiro345[[#This Row],[ABRIL]]</f>
        <v>-68045.709999999992</v>
      </c>
      <c r="G70" s="91">
        <f>Fluxo_de_Caixa_Janeiro3459[[#This Row],[MAIO]]</f>
        <v>-48882.16</v>
      </c>
      <c r="H70" s="91">
        <f>Fluxo_de_Caixa_Janeiro345911[[#This Row],[JUNHO]]</f>
        <v>0</v>
      </c>
      <c r="I70" s="43">
        <f>Fluxo_de_Caixa_Janeiro3459117[[#This Row],[JULHO]]</f>
        <v>0</v>
      </c>
      <c r="J70" s="91">
        <f>Fluxo_de_Caixa_Janeiro345911710[[#This Row],[AGOSTO]]</f>
        <v>0</v>
      </c>
      <c r="K70" s="91">
        <f>Fluxo_de_Caixa_Janeiro34591171012[[#This Row],[SETEMBRO]]</f>
        <v>0</v>
      </c>
      <c r="L70" s="91">
        <f>Fluxo_de_Caixa_Janeiro3459117101215[[#This Row],[OUTUBRO]]</f>
        <v>0</v>
      </c>
      <c r="M70" s="91">
        <f>Fluxo_de_Caixa_Janeiro345911710121516[[#This Row],[NOVEMBRO]]</f>
        <v>0</v>
      </c>
      <c r="N70" s="127">
        <f>Fluxo_de_Caixa_Janeiro34591171012151619[[#This Row],[DEZEMBRO]]</f>
        <v>0</v>
      </c>
      <c r="O70" s="217">
        <f>SUM(Fluxo_de_Caixa_Janeiro31020818[[#This Row],[Janeiro]:[Dezembro]])</f>
        <v>-425471.14</v>
      </c>
      <c r="P70" s="22">
        <f>-IFERROR(O70/$O$27,"0,00")</f>
        <v>9.1806288977407044E-2</v>
      </c>
      <c r="Q70" s="21"/>
      <c r="R70" s="32" t="str">
        <f>IF(Fluxo_de_Caixa_Janeiro31020818[[#This Row],[% ACUMULADO  ANO 2026]]&lt;=Fluxo_de_Caixa_Janeiro31020818[[#This Row],[Coluna1]],"VERDADEIRO","FALSO")</f>
        <v>FALSO</v>
      </c>
    </row>
    <row r="71" spans="1:20" hidden="1" x14ac:dyDescent="0.25">
      <c r="B71" s="272">
        <f>Fluxo_de_Caixa_Janeiro[[#This Row],[Fluxo de Caixa 2026 CTR]]</f>
        <v>0</v>
      </c>
      <c r="C71" s="41">
        <f>Fluxo_de_Caixa_Janeiro[[#This Row],[Janeiro]]</f>
        <v>0</v>
      </c>
      <c r="D71" s="81">
        <f>Fluxo_de_Caixa_Janeiro3[[#This Row],[Fevereiro]]</f>
        <v>0</v>
      </c>
      <c r="E71" s="81">
        <f>Fluxo_de_Caixa_Janeiro34[[#This Row],[Março]]</f>
        <v>0</v>
      </c>
      <c r="F71" s="81">
        <f>Fluxo_de_Caixa_Janeiro345[[#This Row],[ABRIL]]</f>
        <v>0</v>
      </c>
      <c r="G71" s="81">
        <f>Fluxo_de_Caixa_Janeiro3459[[#This Row],[MAIO]]</f>
        <v>0</v>
      </c>
      <c r="H71" s="81">
        <f>Fluxo_de_Caixa_Janeiro345911[[#This Row],[JUNHO]]</f>
        <v>0</v>
      </c>
      <c r="I71" s="41">
        <f>Fluxo_de_Caixa_Janeiro3459117[[#This Row],[JULHO]]</f>
        <v>0</v>
      </c>
      <c r="J71" s="81">
        <f>Fluxo_de_Caixa_Janeiro345911710[[#This Row],[AGOSTO]]</f>
        <v>0</v>
      </c>
      <c r="K71" s="81">
        <f>Fluxo_de_Caixa_Janeiro34591171012[[#This Row],[SETEMBRO]]</f>
        <v>0</v>
      </c>
      <c r="L71" s="81">
        <f>Fluxo_de_Caixa_Janeiro3459117101215[[#This Row],[OUTUBRO]]</f>
        <v>0</v>
      </c>
      <c r="M71" s="81">
        <f>Fluxo_de_Caixa_Janeiro345911710121516[[#This Row],[NOVEMBRO]]</f>
        <v>0</v>
      </c>
      <c r="N71" s="118">
        <f>Fluxo_de_Caixa_Janeiro34591171012151619[[#This Row],[DEZEMBRO]]</f>
        <v>0</v>
      </c>
      <c r="O71" s="218">
        <f>SUM(Fluxo_de_Caixa_Janeiro31020818[[#This Row],[Janeiro]:[Dezembro]])</f>
        <v>0</v>
      </c>
      <c r="P71" s="192">
        <f t="shared" ref="P71:P84" si="5">IFERROR(O71/$O$27,"0,00%")</f>
        <v>0</v>
      </c>
      <c r="Q71" s="192"/>
      <c r="R71" s="32" t="str">
        <f>IF(Fluxo_de_Caixa_Janeiro31020818[[#This Row],[% ACUMULADO  ANO 2026]]&lt;=Fluxo_de_Caixa_Janeiro31020818[[#This Row],[Coluna1]],"VERDADEIRO","FALSO")</f>
        <v>VERDADEIRO</v>
      </c>
    </row>
    <row r="72" spans="1:20" x14ac:dyDescent="0.25">
      <c r="B72" s="267" t="str">
        <f>Fluxo_de_Caixa_Janeiro[[#This Row],[Fluxo de Caixa 2026 CTR]]</f>
        <v xml:space="preserve">2.3.02.IRPJ (SE ESTIVER NO CMV) </v>
      </c>
      <c r="C72" s="35">
        <f>Fluxo_de_Caixa_Janeiro[[#This Row],[Janeiro]]</f>
        <v>0</v>
      </c>
      <c r="D72" s="62">
        <f>Fluxo_de_Caixa_Janeiro3[[#This Row],[Fevereiro]]</f>
        <v>50219.25</v>
      </c>
      <c r="E72" s="62">
        <f>Fluxo_de_Caixa_Janeiro34[[#This Row],[Março]]</f>
        <v>0</v>
      </c>
      <c r="F72" s="62">
        <f>Fluxo_de_Caixa_Janeiro345[[#This Row],[ABRIL]]</f>
        <v>0</v>
      </c>
      <c r="G72" s="62">
        <f>Fluxo_de_Caixa_Janeiro3459[[#This Row],[MAIO]]</f>
        <v>0</v>
      </c>
      <c r="H72" s="62">
        <f>Fluxo_de_Caixa_Janeiro345911[[#This Row],[JUNHO]]</f>
        <v>0</v>
      </c>
      <c r="I72" s="40">
        <f>Fluxo_de_Caixa_Janeiro3459117[[#This Row],[JULHO]]</f>
        <v>0</v>
      </c>
      <c r="J72" s="407">
        <f>Fluxo_de_Caixa_Janeiro345911710[[#This Row],[AGOSTO]]</f>
        <v>0</v>
      </c>
      <c r="K72" s="407">
        <f>Fluxo_de_Caixa_Janeiro34591171012[[#This Row],[SETEMBRO]]</f>
        <v>0</v>
      </c>
      <c r="L72" s="407">
        <f>Fluxo_de_Caixa_Janeiro3459117101215[[#This Row],[OUTUBRO]]</f>
        <v>0</v>
      </c>
      <c r="M72" s="407">
        <f>Fluxo_de_Caixa_Janeiro345911710121516[[#This Row],[NOVEMBRO]]</f>
        <v>0</v>
      </c>
      <c r="N72" s="119">
        <f>Fluxo_de_Caixa_Janeiro34591171012151619[[#This Row],[DEZEMBRO]]</f>
        <v>0</v>
      </c>
      <c r="O72" s="219">
        <f>SUM(Fluxo_de_Caixa_Janeiro31020818[[#This Row],[Janeiro]:[Dezembro]])</f>
        <v>50219.25</v>
      </c>
      <c r="P72" s="192">
        <f t="shared" si="5"/>
        <v>1.0836088618674931E-2</v>
      </c>
      <c r="Q72" s="192"/>
      <c r="R72" s="32" t="str">
        <f>IF(Fluxo_de_Caixa_Janeiro31020818[[#This Row],[% ACUMULADO  ANO 2026]]&lt;=Fluxo_de_Caixa_Janeiro31020818[[#This Row],[Coluna1]],"VERDADEIRO","FALSO")</f>
        <v>FALSO</v>
      </c>
      <c r="T72" s="404">
        <v>31442.41</v>
      </c>
    </row>
    <row r="73" spans="1:20" x14ac:dyDescent="0.25">
      <c r="B73" s="267" t="str">
        <f>Fluxo_de_Caixa_Janeiro[[#This Row],[Fluxo de Caixa 2026 CTR]]</f>
        <v xml:space="preserve">2.3.03.CSSL (SE ESTIVER NO CMV) </v>
      </c>
      <c r="C73" s="35">
        <f>Fluxo_de_Caixa_Janeiro[[#This Row],[Janeiro]]</f>
        <v>0</v>
      </c>
      <c r="D73" s="62">
        <f>Fluxo_de_Caixa_Janeiro3[[#This Row],[Fevereiro]]</f>
        <v>30668.76</v>
      </c>
      <c r="E73" s="62">
        <f>Fluxo_de_Caixa_Janeiro34[[#This Row],[Março]]</f>
        <v>0</v>
      </c>
      <c r="F73" s="62">
        <f>Fluxo_de_Caixa_Janeiro345[[#This Row],[ABRIL]]</f>
        <v>0</v>
      </c>
      <c r="G73" s="62">
        <f>Fluxo_de_Caixa_Janeiro3459[[#This Row],[MAIO]]</f>
        <v>0</v>
      </c>
      <c r="H73" s="62">
        <f>Fluxo_de_Caixa_Janeiro345911[[#This Row],[JUNHO]]</f>
        <v>0</v>
      </c>
      <c r="I73" s="40">
        <f>Fluxo_de_Caixa_Janeiro3459117[[#This Row],[JULHO]]</f>
        <v>0</v>
      </c>
      <c r="J73" s="407">
        <f>Fluxo_de_Caixa_Janeiro345911710[[#This Row],[AGOSTO]]</f>
        <v>0</v>
      </c>
      <c r="K73" s="407">
        <f>Fluxo_de_Caixa_Janeiro34591171012[[#This Row],[SETEMBRO]]</f>
        <v>0</v>
      </c>
      <c r="L73" s="407">
        <f>Fluxo_de_Caixa_Janeiro3459117101215[[#This Row],[OUTUBRO]]</f>
        <v>0</v>
      </c>
      <c r="M73" s="407">
        <f>Fluxo_de_Caixa_Janeiro345911710121516[[#This Row],[NOVEMBRO]]</f>
        <v>0</v>
      </c>
      <c r="N73" s="119">
        <f>Fluxo_de_Caixa_Janeiro34591171012151619[[#This Row],[DEZEMBRO]]</f>
        <v>0</v>
      </c>
      <c r="O73" s="219">
        <f>SUM(Fluxo_de_Caixa_Janeiro31020818[[#This Row],[Janeiro]:[Dezembro]])</f>
        <v>30668.76</v>
      </c>
      <c r="P73" s="192">
        <f t="shared" si="5"/>
        <v>6.6175699793380623E-3</v>
      </c>
      <c r="Q73" s="192"/>
      <c r="R73" s="32" t="str">
        <f>IF(Fluxo_de_Caixa_Janeiro31020818[[#This Row],[% ACUMULADO  ANO 2026]]&lt;=Fluxo_de_Caixa_Janeiro31020818[[#This Row],[Coluna1]],"VERDADEIRO","FALSO")</f>
        <v>FALSO</v>
      </c>
      <c r="T73" s="404">
        <f>T72/3</f>
        <v>10480.803333333333</v>
      </c>
    </row>
    <row r="74" spans="1:20" x14ac:dyDescent="0.25">
      <c r="B74" s="267" t="str">
        <f>Fluxo_de_Caixa_Janeiro[[#This Row],[Fluxo de Caixa 2026 CTR]]</f>
        <v>2.3.04.COFINS (SE ESTIVER NO CMV)</v>
      </c>
      <c r="C74" s="35">
        <f>Fluxo_de_Caixa_Janeiro[[#This Row],[Janeiro]]</f>
        <v>12167.71</v>
      </c>
      <c r="D74" s="62">
        <f>Fluxo_de_Caixa_Janeiro3[[#This Row],[Fevereiro]]</f>
        <v>0</v>
      </c>
      <c r="E74" s="62">
        <f>Fluxo_de_Caixa_Janeiro34[[#This Row],[Março]]</f>
        <v>0</v>
      </c>
      <c r="F74" s="62">
        <f>Fluxo_de_Caixa_Janeiro345[[#This Row],[ABRIL]]</f>
        <v>0</v>
      </c>
      <c r="G74" s="62">
        <f>Fluxo_de_Caixa_Janeiro3459[[#This Row],[MAIO]]</f>
        <v>0</v>
      </c>
      <c r="H74" s="62">
        <f>Fluxo_de_Caixa_Janeiro345911[[#This Row],[JUNHO]]</f>
        <v>0</v>
      </c>
      <c r="I74" s="40">
        <f>Fluxo_de_Caixa_Janeiro3459117[[#This Row],[JULHO]]</f>
        <v>0</v>
      </c>
      <c r="J74" s="407">
        <f>Fluxo_de_Caixa_Janeiro345911710[[#This Row],[AGOSTO]]</f>
        <v>0</v>
      </c>
      <c r="K74" s="407">
        <f>Fluxo_de_Caixa_Janeiro34591171012[[#This Row],[SETEMBRO]]</f>
        <v>0</v>
      </c>
      <c r="L74" s="407">
        <f>Fluxo_de_Caixa_Janeiro3459117101215[[#This Row],[OUTUBRO]]</f>
        <v>0</v>
      </c>
      <c r="M74" s="407">
        <f>Fluxo_de_Caixa_Janeiro345911710121516[[#This Row],[NOVEMBRO]]</f>
        <v>0</v>
      </c>
      <c r="N74" s="119">
        <f>Fluxo_de_Caixa_Janeiro34591171012151619[[#This Row],[DEZEMBRO]]</f>
        <v>0</v>
      </c>
      <c r="O74" s="219">
        <f>SUM(Fluxo_de_Caixa_Janeiro31020818[[#This Row],[Janeiro]:[Dezembro]])</f>
        <v>12167.71</v>
      </c>
      <c r="P74" s="192">
        <f t="shared" si="5"/>
        <v>2.6254948818697442E-3</v>
      </c>
      <c r="Q74" s="192"/>
      <c r="R74" s="32" t="str">
        <f>IF(Fluxo_de_Caixa_Janeiro31020818[[#This Row],[% ACUMULADO  ANO 2026]]&lt;=Fluxo_de_Caixa_Janeiro31020818[[#This Row],[Coluna1]],"VERDADEIRO","FALSO")</f>
        <v>FALSO</v>
      </c>
    </row>
    <row r="75" spans="1:20" x14ac:dyDescent="0.25">
      <c r="B75" s="267" t="str">
        <f>Fluxo_de_Caixa_Janeiro[[#This Row],[Fluxo de Caixa 2026 CTR]]</f>
        <v>2.3.05.PIS (SE ESTIVER NO CMV)</v>
      </c>
      <c r="C75" s="35">
        <f>Fluxo_de_Caixa_Janeiro[[#This Row],[Janeiro]]</f>
        <v>2636.34</v>
      </c>
      <c r="D75" s="62">
        <f>Fluxo_de_Caixa_Janeiro3[[#This Row],[Fevereiro]]</f>
        <v>0</v>
      </c>
      <c r="E75" s="62">
        <f>Fluxo_de_Caixa_Janeiro34[[#This Row],[Março]]</f>
        <v>0</v>
      </c>
      <c r="F75" s="62">
        <f>Fluxo_de_Caixa_Janeiro345[[#This Row],[ABRIL]]</f>
        <v>0</v>
      </c>
      <c r="G75" s="62">
        <f>Fluxo_de_Caixa_Janeiro3459[[#This Row],[MAIO]]</f>
        <v>0</v>
      </c>
      <c r="H75" s="62">
        <f>Fluxo_de_Caixa_Janeiro345911[[#This Row],[JUNHO]]</f>
        <v>0</v>
      </c>
      <c r="I75" s="40">
        <f>Fluxo_de_Caixa_Janeiro3459117[[#This Row],[JULHO]]</f>
        <v>0</v>
      </c>
      <c r="J75" s="407">
        <f>Fluxo_de_Caixa_Janeiro345911710[[#This Row],[AGOSTO]]</f>
        <v>0</v>
      </c>
      <c r="K75" s="407">
        <f>Fluxo_de_Caixa_Janeiro34591171012[[#This Row],[SETEMBRO]]</f>
        <v>0</v>
      </c>
      <c r="L75" s="407">
        <f>Fluxo_de_Caixa_Janeiro3459117101215[[#This Row],[OUTUBRO]]</f>
        <v>0</v>
      </c>
      <c r="M75" s="407">
        <f>Fluxo_de_Caixa_Janeiro345911710121516[[#This Row],[NOVEMBRO]]</f>
        <v>0</v>
      </c>
      <c r="N75" s="119">
        <f>Fluxo_de_Caixa_Janeiro34591171012151619[[#This Row],[DEZEMBRO]]</f>
        <v>0</v>
      </c>
      <c r="O75" s="219">
        <f>SUM(Fluxo_de_Caixa_Janeiro31020818[[#This Row],[Janeiro]:[Dezembro]])</f>
        <v>2636.34</v>
      </c>
      <c r="P75" s="192">
        <f t="shared" si="5"/>
        <v>5.6885783576930108E-4</v>
      </c>
      <c r="Q75" s="192"/>
      <c r="R75" s="32" t="str">
        <f>IF(Fluxo_de_Caixa_Janeiro31020818[[#This Row],[% ACUMULADO  ANO 2026]]&lt;=Fluxo_de_Caixa_Janeiro31020818[[#This Row],[Coluna1]],"VERDADEIRO","FALSO")</f>
        <v>FALSO</v>
      </c>
    </row>
    <row r="76" spans="1:20" x14ac:dyDescent="0.25">
      <c r="B76" s="267" t="str">
        <f>Fluxo_de_Caixa_Janeiro[[#This Row],[Fluxo de Caixa 2026 CTR]]</f>
        <v>2.3.06.ICMS – Normal (SE ESTIVER NO CMV)</v>
      </c>
      <c r="C76" s="35">
        <f>Fluxo_de_Caixa_Janeiro[[#This Row],[Janeiro]]</f>
        <v>20443.12</v>
      </c>
      <c r="D76" s="62">
        <f>Fluxo_de_Caixa_Janeiro3[[#This Row],[Fevereiro]]</f>
        <v>66402.539999999994</v>
      </c>
      <c r="E76" s="62">
        <f>Fluxo_de_Caixa_Janeiro34[[#This Row],[Março]]</f>
        <v>43499.63</v>
      </c>
      <c r="F76" s="62">
        <f>Fluxo_de_Caixa_Janeiro345[[#This Row],[ABRIL]]</f>
        <v>31430.89</v>
      </c>
      <c r="G76" s="62">
        <f>Fluxo_de_Caixa_Janeiro3459[[#This Row],[MAIO]]</f>
        <v>23555.599999999999</v>
      </c>
      <c r="H76" s="62">
        <f>Fluxo_de_Caixa_Janeiro345911[[#This Row],[JUNHO]]</f>
        <v>0</v>
      </c>
      <c r="I76" s="40">
        <f>Fluxo_de_Caixa_Janeiro3459117[[#This Row],[JULHO]]</f>
        <v>0</v>
      </c>
      <c r="J76" s="62">
        <f>Fluxo_de_Caixa_Janeiro345911710[[#This Row],[AGOSTO]]</f>
        <v>0</v>
      </c>
      <c r="K76" s="62">
        <f>Fluxo_de_Caixa_Janeiro34591171012[[#This Row],[SETEMBRO]]</f>
        <v>0</v>
      </c>
      <c r="L76" s="407">
        <f>Fluxo_de_Caixa_Janeiro3459117101215[[#This Row],[OUTUBRO]]</f>
        <v>0</v>
      </c>
      <c r="M76" s="407">
        <f>Fluxo_de_Caixa_Janeiro345911710121516[[#This Row],[NOVEMBRO]]</f>
        <v>0</v>
      </c>
      <c r="N76" s="119">
        <f>Fluxo_de_Caixa_Janeiro34591171012151619[[#This Row],[DEZEMBRO]]</f>
        <v>0</v>
      </c>
      <c r="O76" s="219">
        <f>SUM(Fluxo_de_Caixa_Janeiro31020818[[#This Row],[Janeiro]:[Dezembro]])</f>
        <v>185331.78</v>
      </c>
      <c r="P76" s="192">
        <f t="shared" si="5"/>
        <v>3.9990075358289232E-2</v>
      </c>
      <c r="Q76" s="192"/>
      <c r="R76" s="32" t="str">
        <f>IF(Fluxo_de_Caixa_Janeiro31020818[[#This Row],[% ACUMULADO  ANO 2026]]&lt;=Fluxo_de_Caixa_Janeiro31020818[[#This Row],[Coluna1]],"VERDADEIRO","FALSO")</f>
        <v>FALSO</v>
      </c>
      <c r="S76" s="287"/>
    </row>
    <row r="77" spans="1:20" x14ac:dyDescent="0.25">
      <c r="B77" s="267" t="str">
        <f>Fluxo_de_Caixa_Janeiro[[#This Row],[Fluxo de Caixa 2026 CTR]]</f>
        <v>2.3.07. SUBSTITUIÇÃO TRIBUTARIA SAÍDA (TARE)</v>
      </c>
      <c r="C77" s="35">
        <f>Fluxo_de_Caixa_Janeiro[[#This Row],[Janeiro]]</f>
        <v>10059.1</v>
      </c>
      <c r="D77" s="62">
        <f>Fluxo_de_Caixa_Janeiro3[[#This Row],[Fevereiro]]</f>
        <v>13988.27</v>
      </c>
      <c r="E77" s="62">
        <f>Fluxo_de_Caixa_Janeiro34[[#This Row],[Março]]</f>
        <v>14279.93</v>
      </c>
      <c r="F77" s="62">
        <f>Fluxo_de_Caixa_Janeiro345[[#This Row],[ABRIL]]</f>
        <v>20032.789999999997</v>
      </c>
      <c r="G77" s="62">
        <f>Fluxo_de_Caixa_Janeiro3459[[#This Row],[MAIO]]</f>
        <v>9093.66</v>
      </c>
      <c r="H77" s="62">
        <f>Fluxo_de_Caixa_Janeiro345911[[#This Row],[JUNHO]]</f>
        <v>0</v>
      </c>
      <c r="I77" s="35">
        <f>Fluxo_de_Caixa_Janeiro3459117[[#This Row],[JULHO]]</f>
        <v>0</v>
      </c>
      <c r="J77" s="62">
        <f>Fluxo_de_Caixa_Janeiro345911710[[#This Row],[AGOSTO]]</f>
        <v>0</v>
      </c>
      <c r="K77" s="62">
        <f>Fluxo_de_Caixa_Janeiro34591171012[[#This Row],[SETEMBRO]]</f>
        <v>0</v>
      </c>
      <c r="L77" s="62">
        <f>Fluxo_de_Caixa_Janeiro3459117101215[[#This Row],[OUTUBRO]]</f>
        <v>0</v>
      </c>
      <c r="M77" s="406">
        <f>Fluxo_de_Caixa_Janeiro345911710121516[[#This Row],[NOVEMBRO]]</f>
        <v>0</v>
      </c>
      <c r="N77" s="119">
        <f>Fluxo_de_Caixa_Janeiro34591171012151619[[#This Row],[DEZEMBRO]]</f>
        <v>0</v>
      </c>
      <c r="O77" s="219">
        <f>SUM(Fluxo_de_Caixa_Janeiro31020818[[#This Row],[Janeiro]:[Dezembro]])</f>
        <v>67453.75</v>
      </c>
      <c r="P77" s="192">
        <f t="shared" si="5"/>
        <v>1.4554873134543908E-2</v>
      </c>
      <c r="Q77" s="192"/>
      <c r="R77" s="32" t="str">
        <f>IF(Fluxo_de_Caixa_Janeiro31020818[[#This Row],[% ACUMULADO  ANO 2026]]&lt;=Fluxo_de_Caixa_Janeiro31020818[[#This Row],[Coluna1]],"VERDADEIRO","FALSO")</f>
        <v>FALSO</v>
      </c>
    </row>
    <row r="78" spans="1:20" x14ac:dyDescent="0.25">
      <c r="B78" s="268" t="str">
        <f>Fluxo_de_Caixa_Janeiro[[#This Row],[Fluxo de Caixa 2026 CTR]]</f>
        <v>2.3.08.SUBSTITUIÇÃO TRIBUTÁRIA NA ENTRADA</v>
      </c>
      <c r="C78" s="35">
        <f>Fluxo_de_Caixa_Janeiro[[#This Row],[Janeiro]]</f>
        <v>0</v>
      </c>
      <c r="D78" s="62">
        <f>Fluxo_de_Caixa_Janeiro3[[#This Row],[Fevereiro]]</f>
        <v>0</v>
      </c>
      <c r="E78" s="62">
        <f>Fluxo_de_Caixa_Janeiro34[[#This Row],[Março]]</f>
        <v>0</v>
      </c>
      <c r="F78" s="62">
        <f>Fluxo_de_Caixa_Janeiro345[[#This Row],[ABRIL]]</f>
        <v>0</v>
      </c>
      <c r="G78" s="62">
        <f>Fluxo_de_Caixa_Janeiro3459[[#This Row],[MAIO]]</f>
        <v>0</v>
      </c>
      <c r="H78" s="62">
        <f>Fluxo_de_Caixa_Janeiro345911[[#This Row],[JUNHO]]</f>
        <v>0</v>
      </c>
      <c r="I78" s="35">
        <f>Fluxo_de_Caixa_Janeiro3459117[[#This Row],[JULHO]]</f>
        <v>0</v>
      </c>
      <c r="J78" s="62">
        <f>Fluxo_de_Caixa_Janeiro345911710[[#This Row],[AGOSTO]]</f>
        <v>0</v>
      </c>
      <c r="K78" s="62">
        <f>Fluxo_de_Caixa_Janeiro34591171012[[#This Row],[SETEMBRO]]</f>
        <v>0</v>
      </c>
      <c r="L78" s="62">
        <f>Fluxo_de_Caixa_Janeiro3459117101215[[#This Row],[OUTUBRO]]</f>
        <v>0</v>
      </c>
      <c r="M78" s="62">
        <f>Fluxo_de_Caixa_Janeiro345911710121516[[#This Row],[NOVEMBRO]]</f>
        <v>0</v>
      </c>
      <c r="N78" s="119">
        <f>Fluxo_de_Caixa_Janeiro34591171012151619[[#This Row],[DEZEMBRO]]</f>
        <v>0</v>
      </c>
      <c r="O78" s="219">
        <f>SUM(Fluxo_de_Caixa_Janeiro31020818[[#This Row],[Janeiro]:[Dezembro]])</f>
        <v>0</v>
      </c>
      <c r="P78" s="192">
        <f t="shared" si="5"/>
        <v>0</v>
      </c>
      <c r="Q78" s="192"/>
      <c r="R78" s="32" t="str">
        <f>IF(Fluxo_de_Caixa_Janeiro31020818[[#This Row],[% ACUMULADO  ANO 2026]]&lt;=Fluxo_de_Caixa_Janeiro31020818[[#This Row],[Coluna1]],"VERDADEIRO","FALSO")</f>
        <v>VERDADEIRO</v>
      </c>
    </row>
    <row r="79" spans="1:20" x14ac:dyDescent="0.25">
      <c r="B79" s="268" t="str">
        <f>Fluxo_de_Caixa_Janeiro[[#This Row],[Fluxo de Caixa 2026 CTR]]</f>
        <v>2.3.09.FUNDO DESENVOLVIMENTO ECONOMICO (TARE)</v>
      </c>
      <c r="C79" s="35">
        <f>Fluxo_de_Caixa_Janeiro[[#This Row],[Janeiro]]</f>
        <v>117.55</v>
      </c>
      <c r="D79" s="62">
        <f>Fluxo_de_Caixa_Janeiro3[[#This Row],[Fevereiro]]</f>
        <v>204.79</v>
      </c>
      <c r="E79" s="62">
        <f>Fluxo_de_Caixa_Janeiro34[[#This Row],[Março]]</f>
        <v>163.41999999999999</v>
      </c>
      <c r="F79" s="62">
        <f>Fluxo_de_Caixa_Janeiro345[[#This Row],[ABRIL]]</f>
        <v>839.78</v>
      </c>
      <c r="G79" s="62">
        <f>Fluxo_de_Caixa_Janeiro3459[[#This Row],[MAIO]]</f>
        <v>377.71</v>
      </c>
      <c r="H79" s="62">
        <f>Fluxo_de_Caixa_Janeiro345911[[#This Row],[JUNHO]]</f>
        <v>0</v>
      </c>
      <c r="I79" s="35">
        <f>Fluxo_de_Caixa_Janeiro3459117[[#This Row],[JULHO]]</f>
        <v>0</v>
      </c>
      <c r="J79" s="62">
        <f>Fluxo_de_Caixa_Janeiro345911710[[#This Row],[AGOSTO]]</f>
        <v>0</v>
      </c>
      <c r="K79" s="62">
        <f>Fluxo_de_Caixa_Janeiro34591171012[[#This Row],[SETEMBRO]]</f>
        <v>0</v>
      </c>
      <c r="L79" s="62">
        <f>Fluxo_de_Caixa_Janeiro3459117101215[[#This Row],[OUTUBRO]]</f>
        <v>0</v>
      </c>
      <c r="M79" s="62">
        <f>Fluxo_de_Caixa_Janeiro345911710121516[[#This Row],[NOVEMBRO]]</f>
        <v>0</v>
      </c>
      <c r="N79" s="119">
        <f>Fluxo_de_Caixa_Janeiro34591171012151619[[#This Row],[DEZEMBRO]]</f>
        <v>0</v>
      </c>
      <c r="O79" s="219">
        <f>SUM(Fluxo_de_Caixa_Janeiro31020818[[#This Row],[Janeiro]:[Dezembro]])</f>
        <v>1703.25</v>
      </c>
      <c r="P79" s="192">
        <f t="shared" si="5"/>
        <v>3.6751978453995385E-4</v>
      </c>
      <c r="Q79" s="192"/>
      <c r="R79" s="32" t="str">
        <f>IF(Fluxo_de_Caixa_Janeiro31020818[[#This Row],[% ACUMULADO  ANO 2026]]&lt;=Fluxo_de_Caixa_Janeiro31020818[[#This Row],[Coluna1]],"VERDADEIRO","FALSO")</f>
        <v>FALSO</v>
      </c>
    </row>
    <row r="80" spans="1:20" hidden="1" x14ac:dyDescent="0.25">
      <c r="B80" s="268">
        <f>Fluxo_de_Caixa_Janeiro[[#This Row],[Fluxo de Caixa 2026 CTR]]</f>
        <v>0</v>
      </c>
      <c r="C80" s="35">
        <f>Fluxo_de_Caixa_Janeiro[[#This Row],[Janeiro]]</f>
        <v>0</v>
      </c>
      <c r="D80" s="62">
        <f>Fluxo_de_Caixa_Janeiro3[[#This Row],[Fevereiro]]</f>
        <v>0</v>
      </c>
      <c r="E80" s="62">
        <f>Fluxo_de_Caixa_Janeiro34[[#This Row],[Março]]</f>
        <v>0</v>
      </c>
      <c r="F80" s="62">
        <f>Fluxo_de_Caixa_Janeiro345[[#This Row],[ABRIL]]</f>
        <v>0</v>
      </c>
      <c r="G80" s="62">
        <f>Fluxo_de_Caixa_Janeiro3459[[#This Row],[MAIO]]</f>
        <v>0</v>
      </c>
      <c r="H80" s="62">
        <f>Fluxo_de_Caixa_Janeiro345911[[#This Row],[JUNHO]]</f>
        <v>0</v>
      </c>
      <c r="I80" s="35">
        <f>Fluxo_de_Caixa_Janeiro3459117[[#This Row],[JULHO]]</f>
        <v>0</v>
      </c>
      <c r="J80" s="62">
        <f>Fluxo_de_Caixa_Janeiro345911710[[#This Row],[AGOSTO]]</f>
        <v>0</v>
      </c>
      <c r="K80" s="62">
        <f>Fluxo_de_Caixa_Janeiro34591171012[[#This Row],[SETEMBRO]]</f>
        <v>0</v>
      </c>
      <c r="L80" s="62">
        <f>Fluxo_de_Caixa_Janeiro3459117101215[[#This Row],[OUTUBRO]]</f>
        <v>0</v>
      </c>
      <c r="M80" s="62">
        <f>Fluxo_de_Caixa_Janeiro345911710121516[[#This Row],[NOVEMBRO]]</f>
        <v>0</v>
      </c>
      <c r="N80" s="119">
        <f>Fluxo_de_Caixa_Janeiro34591171012151619[[#This Row],[DEZEMBRO]]</f>
        <v>0</v>
      </c>
      <c r="O80" s="219">
        <f>SUM(Fluxo_de_Caixa_Janeiro31020818[[#This Row],[Janeiro]:[Dezembro]])</f>
        <v>0</v>
      </c>
      <c r="P80" s="192">
        <f t="shared" si="5"/>
        <v>0</v>
      </c>
      <c r="Q80" s="192"/>
      <c r="R80" s="32" t="str">
        <f>IF(Fluxo_de_Caixa_Janeiro31020818[[#This Row],[% ACUMULADO  ANO 2026]]&lt;=Fluxo_de_Caixa_Janeiro31020818[[#This Row],[Coluna1]],"VERDADEIRO","FALSO")</f>
        <v>VERDADEIRO</v>
      </c>
    </row>
    <row r="81" spans="1:20" hidden="1" x14ac:dyDescent="0.25">
      <c r="B81" s="268">
        <f>Fluxo_de_Caixa_Janeiro[[#This Row],[Fluxo de Caixa 2026 CTR]]</f>
        <v>0</v>
      </c>
      <c r="C81" s="35">
        <f>Fluxo_de_Caixa_Janeiro[[#This Row],[Janeiro]]</f>
        <v>0</v>
      </c>
      <c r="D81" s="62">
        <f>Fluxo_de_Caixa_Janeiro3[[#This Row],[Fevereiro]]</f>
        <v>0</v>
      </c>
      <c r="E81" s="62">
        <f>Fluxo_de_Caixa_Janeiro34[[#This Row],[Março]]</f>
        <v>0</v>
      </c>
      <c r="F81" s="62">
        <f>Fluxo_de_Caixa_Janeiro345[[#This Row],[ABRIL]]</f>
        <v>0</v>
      </c>
      <c r="G81" s="62">
        <f>Fluxo_de_Caixa_Janeiro3459[[#This Row],[MAIO]]</f>
        <v>0</v>
      </c>
      <c r="H81" s="62">
        <f>Fluxo_de_Caixa_Janeiro345911[[#This Row],[JUNHO]]</f>
        <v>0</v>
      </c>
      <c r="I81" s="35">
        <f>Fluxo_de_Caixa_Janeiro3459117[[#This Row],[JULHO]]</f>
        <v>0</v>
      </c>
      <c r="J81" s="62">
        <f>Fluxo_de_Caixa_Janeiro345911710[[#This Row],[AGOSTO]]</f>
        <v>0</v>
      </c>
      <c r="K81" s="62">
        <f>Fluxo_de_Caixa_Janeiro34591171012[[#This Row],[SETEMBRO]]</f>
        <v>0</v>
      </c>
      <c r="L81" s="62">
        <f>Fluxo_de_Caixa_Janeiro3459117101215[[#This Row],[OUTUBRO]]</f>
        <v>0</v>
      </c>
      <c r="M81" s="62">
        <f>Fluxo_de_Caixa_Janeiro345911710121516[[#This Row],[NOVEMBRO]]</f>
        <v>0</v>
      </c>
      <c r="N81" s="119">
        <f>Fluxo_de_Caixa_Janeiro34591171012151619[[#This Row],[DEZEMBRO]]</f>
        <v>0</v>
      </c>
      <c r="O81" s="219">
        <f>SUM(Fluxo_de_Caixa_Janeiro31020818[[#This Row],[Janeiro]:[Dezembro]])</f>
        <v>0</v>
      </c>
      <c r="P81" s="192">
        <f t="shared" si="5"/>
        <v>0</v>
      </c>
      <c r="Q81" s="192"/>
      <c r="R81" s="32" t="str">
        <f>IF(Fluxo_de_Caixa_Janeiro31020818[[#This Row],[% ACUMULADO  ANO 2026]]&lt;=Fluxo_de_Caixa_Janeiro31020818[[#This Row],[Coluna1]],"VERDADEIRO","FALSO")</f>
        <v>VERDADEIRO</v>
      </c>
    </row>
    <row r="82" spans="1:20" ht="15.75" thickBot="1" x14ac:dyDescent="0.3">
      <c r="B82" s="268" t="str">
        <f>Fluxo_de_Caixa_Janeiro[[#This Row],[Fluxo de Caixa 2026 CTR]]</f>
        <v xml:space="preserve">2.3.11. Impostos Parcelado </v>
      </c>
      <c r="C82" s="35">
        <f>Fluxo_de_Caixa_Janeiro[[#This Row],[Janeiro]]</f>
        <v>12562.74</v>
      </c>
      <c r="D82" s="62">
        <f>Fluxo_de_Caixa_Janeiro3[[#This Row],[Fevereiro]]</f>
        <v>15513.25</v>
      </c>
      <c r="E82" s="62">
        <f>Fluxo_de_Caixa_Janeiro34[[#This Row],[Março]]</f>
        <v>15616.87</v>
      </c>
      <c r="F82" s="62">
        <f>Fluxo_de_Caixa_Janeiro345[[#This Row],[ABRIL]]</f>
        <v>15742.25</v>
      </c>
      <c r="G82" s="62">
        <f>Fluxo_de_Caixa_Janeiro3459[[#This Row],[MAIO]]</f>
        <v>15855.19</v>
      </c>
      <c r="H82" s="62">
        <f>Fluxo_de_Caixa_Janeiro345911[[#This Row],[JUNHO]]</f>
        <v>0</v>
      </c>
      <c r="I82" s="35">
        <f>Fluxo_de_Caixa_Janeiro3459117[[#This Row],[JULHO]]</f>
        <v>0</v>
      </c>
      <c r="J82" s="62">
        <f>Fluxo_de_Caixa_Janeiro345911710[[#This Row],[AGOSTO]]</f>
        <v>0</v>
      </c>
      <c r="K82" s="62">
        <f>Fluxo_de_Caixa_Janeiro34591171012[[#This Row],[SETEMBRO]]</f>
        <v>0</v>
      </c>
      <c r="L82" s="62">
        <f>Fluxo_de_Caixa_Janeiro3459117101215[[#This Row],[OUTUBRO]]</f>
        <v>0</v>
      </c>
      <c r="M82" s="62">
        <f>Fluxo_de_Caixa_Janeiro345911710121516[[#This Row],[NOVEMBRO]]</f>
        <v>0</v>
      </c>
      <c r="N82" s="119">
        <f>Fluxo_de_Caixa_Janeiro34591171012151619[[#This Row],[DEZEMBRO]]</f>
        <v>0</v>
      </c>
      <c r="O82" s="219">
        <f>SUM(Fluxo_de_Caixa_Janeiro31020818[[#This Row],[Janeiro]:[Dezembro]])</f>
        <v>75290.3</v>
      </c>
      <c r="P82" s="192">
        <f t="shared" si="5"/>
        <v>1.6245809384381912E-2</v>
      </c>
      <c r="Q82" s="192"/>
      <c r="R82" s="32" t="str">
        <f>IF(Fluxo_de_Caixa_Janeiro31020818[[#This Row],[% ACUMULADO  ANO 2026]]&lt;=Fluxo_de_Caixa_Janeiro31020818[[#This Row],[Coluna1]],"VERDADEIRO","FALSO")</f>
        <v>FALSO</v>
      </c>
    </row>
    <row r="83" spans="1:20" hidden="1" x14ac:dyDescent="0.25">
      <c r="B83" s="268">
        <f>Fluxo_de_Caixa_Janeiro[[#This Row],[Fluxo de Caixa 2026 CTR]]</f>
        <v>0</v>
      </c>
      <c r="C83" s="35">
        <f>Fluxo_de_Caixa_Janeiro[[#This Row],[Janeiro]]</f>
        <v>0</v>
      </c>
      <c r="D83" s="62">
        <f>Fluxo_de_Caixa_Janeiro3[[#This Row],[Fevereiro]]</f>
        <v>0</v>
      </c>
      <c r="E83" s="62">
        <f>Fluxo_de_Caixa_Janeiro34[[#This Row],[Março]]</f>
        <v>0</v>
      </c>
      <c r="F83" s="62">
        <f>Fluxo_de_Caixa_Janeiro345[[#This Row],[ABRIL]]</f>
        <v>0</v>
      </c>
      <c r="G83" s="62">
        <f>Fluxo_de_Caixa_Janeiro3459[[#This Row],[MAIO]]</f>
        <v>0</v>
      </c>
      <c r="H83" s="62">
        <f>Fluxo_de_Caixa_Janeiro345911[[#This Row],[JUNHO]]</f>
        <v>0</v>
      </c>
      <c r="I83" s="35">
        <f>Fluxo_de_Caixa_Janeiro3459117[[#This Row],[JULHO]]</f>
        <v>0</v>
      </c>
      <c r="J83" s="62">
        <f>Fluxo_de_Caixa_Janeiro345911710[[#This Row],[AGOSTO]]</f>
        <v>0</v>
      </c>
      <c r="K83" s="62">
        <f>Fluxo_de_Caixa_Janeiro34591171012[[#This Row],[SETEMBRO]]</f>
        <v>0</v>
      </c>
      <c r="L83" s="62">
        <f>Fluxo_de_Caixa_Janeiro3459117101215[[#This Row],[OUTUBRO]]</f>
        <v>0</v>
      </c>
      <c r="M83" s="62">
        <f>Fluxo_de_Caixa_Janeiro345911710121516[[#This Row],[NOVEMBRO]]</f>
        <v>0</v>
      </c>
      <c r="N83" s="119">
        <f>Fluxo_de_Caixa_Janeiro34591171012151619[[#This Row],[DEZEMBRO]]</f>
        <v>0</v>
      </c>
      <c r="O83" s="219">
        <f>SUM(Fluxo_de_Caixa_Janeiro31020818[[#This Row],[Janeiro]:[Dezembro]])</f>
        <v>0</v>
      </c>
      <c r="P83" s="192">
        <f t="shared" si="5"/>
        <v>0</v>
      </c>
      <c r="Q83" s="192"/>
      <c r="R83" s="32" t="str">
        <f>IF(Fluxo_de_Caixa_Janeiro31020818[[#This Row],[% ACUMULADO  ANO 2026]]&lt;=Fluxo_de_Caixa_Janeiro31020818[[#This Row],[Coluna1]],"VERDADEIRO","FALSO")</f>
        <v>VERDADEIRO</v>
      </c>
    </row>
    <row r="84" spans="1:20" ht="15.75" hidden="1" thickBot="1" x14ac:dyDescent="0.3">
      <c r="B84" s="268">
        <f>Fluxo_de_Caixa_Janeiro[[#This Row],[Fluxo de Caixa 2026 CTR]]</f>
        <v>0</v>
      </c>
      <c r="C84" s="36">
        <f>Fluxo_de_Caixa_Janeiro[[#This Row],[Janeiro]]</f>
        <v>0</v>
      </c>
      <c r="D84" s="82">
        <f>Fluxo_de_Caixa_Janeiro3[[#This Row],[Fevereiro]]</f>
        <v>0</v>
      </c>
      <c r="E84" s="82">
        <f>Fluxo_de_Caixa_Janeiro34[[#This Row],[Março]]</f>
        <v>0</v>
      </c>
      <c r="F84" s="82">
        <f>Fluxo_de_Caixa_Janeiro345[[#This Row],[ABRIL]]</f>
        <v>0</v>
      </c>
      <c r="G84" s="82">
        <f>Fluxo_de_Caixa_Janeiro3459[[#This Row],[MAIO]]</f>
        <v>0</v>
      </c>
      <c r="H84" s="82">
        <f>Fluxo_de_Caixa_Janeiro345911[[#This Row],[JUNHO]]</f>
        <v>0</v>
      </c>
      <c r="I84" s="36">
        <f>Fluxo_de_Caixa_Janeiro3459117[[#This Row],[JULHO]]</f>
        <v>0</v>
      </c>
      <c r="J84" s="82">
        <f>Fluxo_de_Caixa_Janeiro345911710[[#This Row],[AGOSTO]]</f>
        <v>0</v>
      </c>
      <c r="K84" s="82">
        <f>Fluxo_de_Caixa_Janeiro34591171012[[#This Row],[SETEMBRO]]</f>
        <v>0</v>
      </c>
      <c r="L84" s="82">
        <f>Fluxo_de_Caixa_Janeiro3459117101215[[#This Row],[OUTUBRO]]</f>
        <v>0</v>
      </c>
      <c r="M84" s="82">
        <f>Fluxo_de_Caixa_Janeiro345911710121516[[#This Row],[NOVEMBRO]]</f>
        <v>0</v>
      </c>
      <c r="N84" s="120">
        <f>Fluxo_de_Caixa_Janeiro34591171012151619[[#This Row],[DEZEMBRO]]</f>
        <v>0</v>
      </c>
      <c r="O84" s="220">
        <f>SUM(Fluxo_de_Caixa_Janeiro31020818[[#This Row],[Janeiro]:[Dezembro]])</f>
        <v>0</v>
      </c>
      <c r="P84" s="192">
        <f t="shared" si="5"/>
        <v>0</v>
      </c>
      <c r="Q84" s="192"/>
      <c r="R84" s="32" t="str">
        <f>IF(Fluxo_de_Caixa_Janeiro31020818[[#This Row],[% ACUMULADO  ANO 2026]]&lt;=Fluxo_de_Caixa_Janeiro31020818[[#This Row],[Coluna1]],"VERDADEIRO","FALSO")</f>
        <v>VERDADEIRO</v>
      </c>
    </row>
    <row r="85" spans="1:20" ht="24" thickBot="1" x14ac:dyDescent="0.4">
      <c r="B85" s="54" t="str">
        <f>Fluxo_de_Caixa_Janeiro[[#This Row],[Fluxo de Caixa 2026 CTR]]</f>
        <v xml:space="preserve">Total dos Custos </v>
      </c>
      <c r="C85" s="43">
        <f>Fluxo_de_Caixa_Janeiro[[#This Row],[Janeiro]]</f>
        <v>-518629.22</v>
      </c>
      <c r="D85" s="91">
        <f>Fluxo_de_Caixa_Janeiro3[[#This Row],[Fevereiro]]</f>
        <v>-653772.64000000013</v>
      </c>
      <c r="E85" s="91">
        <f>Fluxo_de_Caixa_Janeiro34[[#This Row],[Março]]</f>
        <v>-530050.30000000005</v>
      </c>
      <c r="F85" s="91">
        <f>Fluxo_de_Caixa_Janeiro345[[#This Row],[ABRIL]]</f>
        <v>-444268.68</v>
      </c>
      <c r="G85" s="91">
        <f>Fluxo_de_Caixa_Janeiro3459[[#This Row],[MAIO]]</f>
        <v>-259547.41</v>
      </c>
      <c r="H85" s="91">
        <f>Fluxo_de_Caixa_Janeiro345911[[#This Row],[JUNHO]]</f>
        <v>0</v>
      </c>
      <c r="I85" s="43">
        <f>Fluxo_de_Caixa_Janeiro3459117[[#This Row],[JULHO]]</f>
        <v>0</v>
      </c>
      <c r="J85" s="91">
        <f>Fluxo_de_Caixa_Janeiro345911710[[#This Row],[AGOSTO]]</f>
        <v>0</v>
      </c>
      <c r="K85" s="91">
        <f>Fluxo_de_Caixa_Janeiro34591171012[[#This Row],[SETEMBRO]]</f>
        <v>0</v>
      </c>
      <c r="L85" s="91">
        <f>Fluxo_de_Caixa_Janeiro3459117101215[[#This Row],[OUTUBRO]]</f>
        <v>0</v>
      </c>
      <c r="M85" s="91">
        <f>Fluxo_de_Caixa_Janeiro345911710121516[[#This Row],[NOVEMBRO]]</f>
        <v>0</v>
      </c>
      <c r="N85" s="127">
        <f>Fluxo_de_Caixa_Janeiro34591171012151619[[#This Row],[DEZEMBRO]]</f>
        <v>0</v>
      </c>
      <c r="O85" s="217">
        <f>SUM(Fluxo_de_Caixa_Janeiro31020818[[#This Row],[Janeiro]:[Dezembro]])</f>
        <v>-2406268.2500000005</v>
      </c>
      <c r="P85" s="199">
        <f>IFERROR(O85/O27,"0,00%")</f>
        <v>-0.5192139667020883</v>
      </c>
      <c r="Q85" s="199"/>
      <c r="R85" s="32" t="str">
        <f>IF(Fluxo_de_Caixa_Janeiro31020818[[#This Row],[% ACUMULADO  ANO 2026]]&gt;=Fluxo_de_Caixa_Janeiro31020818[[#This Row],[Coluna1]],"VERDADEIRO","FALSO")</f>
        <v>FALSO</v>
      </c>
    </row>
    <row r="86" spans="1:20" ht="24" thickBot="1" x14ac:dyDescent="0.4">
      <c r="B86" s="273" t="str">
        <f>Fluxo_de_Caixa_Janeiro[[#This Row],[Fluxo de Caixa 2026 CTR]]</f>
        <v>Receita Operacional Bruta</v>
      </c>
      <c r="C86" s="200">
        <f>Fluxo_de_Caixa_Janeiro[[#This Row],[Janeiro]]</f>
        <v>231003.70999999996</v>
      </c>
      <c r="D86" s="201">
        <f>Fluxo_de_Caixa_Janeiro3[[#This Row],[Fevereiro]]</f>
        <v>384816.44999999995</v>
      </c>
      <c r="E86" s="201">
        <f>Fluxo_de_Caixa_Janeiro34[[#This Row],[Março]]</f>
        <v>557699.68999999994</v>
      </c>
      <c r="F86" s="201">
        <f>Fluxo_de_Caixa_Janeiro345[[#This Row],[ABRIL]]</f>
        <v>564978.32000000007</v>
      </c>
      <c r="G86" s="201">
        <f>Fluxo_de_Caixa_Janeiro3459[[#This Row],[MAIO]]</f>
        <v>489677.95999999996</v>
      </c>
      <c r="H86" s="201">
        <f>Fluxo_de_Caixa_Janeiro345911[[#This Row],[JUNHO]]</f>
        <v>0</v>
      </c>
      <c r="I86" s="200">
        <f>Fluxo_de_Caixa_Janeiro3459117[[#This Row],[JULHO]]</f>
        <v>0</v>
      </c>
      <c r="J86" s="201">
        <f>Fluxo_de_Caixa_Janeiro345911710[[#This Row],[AGOSTO]]</f>
        <v>0</v>
      </c>
      <c r="K86" s="201">
        <f>Fluxo_de_Caixa_Janeiro34591171012[[#This Row],[SETEMBRO]]</f>
        <v>0</v>
      </c>
      <c r="L86" s="201">
        <f>Fluxo_de_Caixa_Janeiro3459117101215[[#This Row],[OUTUBRO]]</f>
        <v>0</v>
      </c>
      <c r="M86" s="201">
        <f>Fluxo_de_Caixa_Janeiro345911710121516[[#This Row],[NOVEMBRO]]</f>
        <v>0</v>
      </c>
      <c r="N86" s="202">
        <f>Fluxo_de_Caixa_Janeiro34591171012151619[[#This Row],[DEZEMBRO]]</f>
        <v>0</v>
      </c>
      <c r="O86" s="289">
        <f>SUM(Fluxo_de_Caixa_Janeiro31020818[[#This Row],[Janeiro]:[Dezembro]])</f>
        <v>2228176.13</v>
      </c>
      <c r="P86" s="203">
        <f>IFERROR(O86/O27,"0,00%")</f>
        <v>0.48078603329791175</v>
      </c>
      <c r="Q86" s="203"/>
      <c r="R86" s="32" t="str">
        <f>IF(Fluxo_de_Caixa_Janeiro31020818[[#This Row],[% ACUMULADO  ANO 2026]]&gt;=Fluxo_de_Caixa_Janeiro31020818[[#This Row],[Coluna1]],"VERDADEIRO","FALSO")</f>
        <v>VERDADEIRO</v>
      </c>
    </row>
    <row r="87" spans="1:20" ht="24" thickBot="1" x14ac:dyDescent="0.4">
      <c r="B87" s="274" t="str">
        <f>Fluxo_de_Caixa_Janeiro[[#This Row],[Fluxo de Caixa 2026 CTR]]</f>
        <v xml:space="preserve">300. Despesas Operac. Fixas e Variáveis </v>
      </c>
      <c r="C87" s="204"/>
      <c r="D87" s="249"/>
      <c r="E87" s="249"/>
      <c r="F87" s="249"/>
      <c r="G87" s="249"/>
      <c r="H87" s="403"/>
      <c r="I87" s="249"/>
      <c r="J87" s="249"/>
      <c r="K87" s="249"/>
      <c r="L87" s="249"/>
      <c r="M87" s="249"/>
      <c r="N87" s="249"/>
      <c r="O87" s="221"/>
      <c r="P87" s="205"/>
      <c r="Q87" s="205"/>
      <c r="R87" s="32" t="str">
        <f>IF(Fluxo_de_Caixa_Janeiro31020818[[#This Row],[% ACUMULADO  ANO 2026]]&lt;=Fluxo_de_Caixa_Janeiro31020818[[#This Row],[Coluna1]],"VERDADEIRO","FALSO")</f>
        <v>VERDADEIRO</v>
      </c>
    </row>
    <row r="88" spans="1:20" ht="19.5" thickBot="1" x14ac:dyDescent="0.35">
      <c r="A88" s="14" t="s">
        <v>2</v>
      </c>
      <c r="B88" s="275" t="str">
        <f>Fluxo_de_Caixa_Janeiro[[#This Row],[Fluxo de Caixa 2026 CTR]]</f>
        <v xml:space="preserve">3.1. DESPESA COM VENDAS   </v>
      </c>
      <c r="C88" s="157">
        <f>Fluxo_de_Caixa_Janeiro[[#This Row],[Janeiro]]</f>
        <v>-60045.89</v>
      </c>
      <c r="D88" s="94">
        <f>Fluxo_de_Caixa_Janeiro3[[#This Row],[Fevereiro]]</f>
        <v>-74448.100000000006</v>
      </c>
      <c r="E88" s="94">
        <f>Fluxo_de_Caixa_Janeiro34[[#This Row],[Março]]</f>
        <v>-50419.469999999994</v>
      </c>
      <c r="F88" s="94">
        <f>Fluxo_de_Caixa_Janeiro345[[#This Row],[ABRIL]]</f>
        <v>-41738.280000000006</v>
      </c>
      <c r="G88" s="94">
        <f>Fluxo_de_Caixa_Janeiro3459[[#This Row],[MAIO]]</f>
        <v>-33338.720000000001</v>
      </c>
      <c r="H88" s="94">
        <f>Fluxo_de_Caixa_Janeiro345911[[#This Row],[JUNHO]]</f>
        <v>0</v>
      </c>
      <c r="I88" s="157">
        <f>Fluxo_de_Caixa_Janeiro3459117[[#This Row],[JULHO]]</f>
        <v>0</v>
      </c>
      <c r="J88" s="94">
        <f>Fluxo_de_Caixa_Janeiro345911710[[#This Row],[AGOSTO]]</f>
        <v>0</v>
      </c>
      <c r="K88" s="94">
        <f>Fluxo_de_Caixa_Janeiro34591171012[[#This Row],[SETEMBRO]]</f>
        <v>0</v>
      </c>
      <c r="L88" s="94">
        <f>Fluxo_de_Caixa_Janeiro3459117101215[[#This Row],[OUTUBRO]]</f>
        <v>0</v>
      </c>
      <c r="M88" s="94">
        <f>Fluxo_de_Caixa_Janeiro345911710121516[[#This Row],[NOVEMBRO]]</f>
        <v>0</v>
      </c>
      <c r="N88" s="128">
        <f>Fluxo_de_Caixa_Janeiro34591171012151619[[#This Row],[DEZEMBRO]]</f>
        <v>0</v>
      </c>
      <c r="O88" s="222">
        <f>SUM(Fluxo_de_Caixa_Janeiro31020818[[#This Row],[Janeiro]:[Dezembro]])</f>
        <v>-259990.46</v>
      </c>
      <c r="P88" s="143">
        <f>-IFERROR(O88/$O$27,"0,00")</f>
        <v>5.6099596560483481E-2</v>
      </c>
      <c r="Q88" s="143"/>
      <c r="R88" s="32" t="str">
        <f>IF(Fluxo_de_Caixa_Janeiro31020818[[#This Row],[% ACUMULADO  ANO 2026]]&lt;=Fluxo_de_Caixa_Janeiro31020818[[#This Row],[Coluna1]],"VERDADEIRO","FALSO")</f>
        <v>FALSO</v>
      </c>
    </row>
    <row r="89" spans="1:20" x14ac:dyDescent="0.25">
      <c r="B89" s="169" t="str">
        <f>Fluxo_de_Caixa_Janeiro[[#This Row],[Fluxo de Caixa 2026 CTR]]</f>
        <v xml:space="preserve">3.1.01. Marketing e Propaganda </v>
      </c>
      <c r="C89" s="41">
        <f>Fluxo_de_Caixa_Janeiro[[#This Row],[Janeiro]]</f>
        <v>2535</v>
      </c>
      <c r="D89" s="81">
        <f>Fluxo_de_Caixa_Janeiro3[[#This Row],[Fevereiro]]</f>
        <v>2535</v>
      </c>
      <c r="E89" s="81">
        <f>Fluxo_de_Caixa_Janeiro34[[#This Row],[Março]]</f>
        <v>2535</v>
      </c>
      <c r="F89" s="81">
        <f>Fluxo_de_Caixa_Janeiro345[[#This Row],[ABRIL]]</f>
        <v>2715</v>
      </c>
      <c r="G89" s="81">
        <f>Fluxo_de_Caixa_Janeiro3459[[#This Row],[MAIO]]</f>
        <v>3195</v>
      </c>
      <c r="H89" s="81">
        <f>Fluxo_de_Caixa_Janeiro345911[[#This Row],[JUNHO]]</f>
        <v>0</v>
      </c>
      <c r="I89" s="41">
        <f>Fluxo_de_Caixa_Janeiro3459117[[#This Row],[JULHO]]</f>
        <v>0</v>
      </c>
      <c r="J89" s="81">
        <f>Fluxo_de_Caixa_Janeiro345911710[[#This Row],[AGOSTO]]</f>
        <v>0</v>
      </c>
      <c r="K89" s="81">
        <f>Fluxo_de_Caixa_Janeiro34591171012[[#This Row],[SETEMBRO]]</f>
        <v>0</v>
      </c>
      <c r="L89" s="81">
        <f>Fluxo_de_Caixa_Janeiro3459117101215[[#This Row],[OUTUBRO]]</f>
        <v>0</v>
      </c>
      <c r="M89" s="81">
        <f>Fluxo_de_Caixa_Janeiro345911710121516[[#This Row],[NOVEMBRO]]</f>
        <v>0</v>
      </c>
      <c r="N89" s="118">
        <f>Fluxo_de_Caixa_Janeiro34591171012151619[[#This Row],[DEZEMBRO]]</f>
        <v>0</v>
      </c>
      <c r="O89" s="223">
        <f>SUM(Fluxo_de_Caixa_Janeiro31020818[[#This Row],[Janeiro]:[Dezembro]])</f>
        <v>13515</v>
      </c>
      <c r="P89" s="193">
        <f t="shared" ref="P89:P99" si="6">IFERROR(O89/$O$27,"0,00%")</f>
        <v>2.9162071851210783E-3</v>
      </c>
      <c r="Q89" s="193"/>
      <c r="R89" s="32" t="str">
        <f>IF(Fluxo_de_Caixa_Janeiro31020818[[#This Row],[% ACUMULADO  ANO 2026]]&lt;=Fluxo_de_Caixa_Janeiro31020818[[#This Row],[Coluna1]],"VERDADEIRO","FALSO")</f>
        <v>FALSO</v>
      </c>
      <c r="S89" s="287"/>
      <c r="T89" s="287"/>
    </row>
    <row r="90" spans="1:20" x14ac:dyDescent="0.25">
      <c r="B90" s="55" t="str">
        <f>Fluxo_de_Caixa_Janeiro[[#This Row],[Fluxo de Caixa 2026 CTR]]</f>
        <v>3.1.02. Promoções e Eventos(Brindes/Café da Manhã p clientes/etc)</v>
      </c>
      <c r="C90" s="35">
        <f>Fluxo_de_Caixa_Janeiro[[#This Row],[Janeiro]]</f>
        <v>0</v>
      </c>
      <c r="D90" s="62">
        <f>Fluxo_de_Caixa_Janeiro3[[#This Row],[Fevereiro]]</f>
        <v>0</v>
      </c>
      <c r="E90" s="62">
        <f>Fluxo_de_Caixa_Janeiro34[[#This Row],[Março]]</f>
        <v>0</v>
      </c>
      <c r="F90" s="62">
        <f>Fluxo_de_Caixa_Janeiro345[[#This Row],[ABRIL]]</f>
        <v>4614.57</v>
      </c>
      <c r="G90" s="62">
        <f>Fluxo_de_Caixa_Janeiro3459[[#This Row],[MAIO]]</f>
        <v>12132.12</v>
      </c>
      <c r="H90" s="62">
        <f>Fluxo_de_Caixa_Janeiro345911[[#This Row],[JUNHO]]</f>
        <v>0</v>
      </c>
      <c r="I90" s="35">
        <f>Fluxo_de_Caixa_Janeiro3459117[[#This Row],[JULHO]]</f>
        <v>0</v>
      </c>
      <c r="J90" s="62">
        <f>Fluxo_de_Caixa_Janeiro345911710[[#This Row],[AGOSTO]]</f>
        <v>0</v>
      </c>
      <c r="K90" s="62">
        <f>Fluxo_de_Caixa_Janeiro34591171012[[#This Row],[SETEMBRO]]</f>
        <v>0</v>
      </c>
      <c r="L90" s="62">
        <f>Fluxo_de_Caixa_Janeiro3459117101215[[#This Row],[OUTUBRO]]</f>
        <v>0</v>
      </c>
      <c r="M90" s="62">
        <f>Fluxo_de_Caixa_Janeiro345911710121516[[#This Row],[NOVEMBRO]]</f>
        <v>0</v>
      </c>
      <c r="N90" s="119">
        <f>Fluxo_de_Caixa_Janeiro34591171012151619[[#This Row],[DEZEMBRO]]</f>
        <v>0</v>
      </c>
      <c r="O90" s="224">
        <f>SUM(Fluxo_de_Caixa_Janeiro31020818[[#This Row],[Janeiro]:[Dezembro]])</f>
        <v>16746.690000000002</v>
      </c>
      <c r="P90" s="194">
        <f t="shared" si="6"/>
        <v>3.6135270221972116E-3</v>
      </c>
      <c r="Q90" s="194"/>
      <c r="R90" s="32" t="str">
        <f>IF(Fluxo_de_Caixa_Janeiro31020818[[#This Row],[% ACUMULADO  ANO 2026]]&lt;=Fluxo_de_Caixa_Janeiro31020818[[#This Row],[Coluna1]],"VERDADEIRO","FALSO")</f>
        <v>FALSO</v>
      </c>
      <c r="S90" s="287"/>
      <c r="T90" s="287"/>
    </row>
    <row r="91" spans="1:20" x14ac:dyDescent="0.25">
      <c r="B91" s="55" t="str">
        <f>Fluxo_de_Caixa_Janeiro[[#This Row],[Fluxo de Caixa 2026 CTR]]</f>
        <v>3.1.03. Sacolas e Embalagens</v>
      </c>
      <c r="C91" s="35">
        <f>Fluxo_de_Caixa_Janeiro[[#This Row],[Janeiro]]</f>
        <v>0</v>
      </c>
      <c r="D91" s="62">
        <f>Fluxo_de_Caixa_Janeiro3[[#This Row],[Fevereiro]]</f>
        <v>0</v>
      </c>
      <c r="E91" s="62">
        <f>Fluxo_de_Caixa_Janeiro34[[#This Row],[Março]]</f>
        <v>303.29000000000002</v>
      </c>
      <c r="F91" s="62">
        <f>Fluxo_de_Caixa_Janeiro345[[#This Row],[ABRIL]]</f>
        <v>412.82</v>
      </c>
      <c r="G91" s="62">
        <f>Fluxo_de_Caixa_Janeiro3459[[#This Row],[MAIO]]</f>
        <v>296.10000000000002</v>
      </c>
      <c r="H91" s="62">
        <f>Fluxo_de_Caixa_Janeiro345911[[#This Row],[JUNHO]]</f>
        <v>0</v>
      </c>
      <c r="I91" s="35">
        <f>Fluxo_de_Caixa_Janeiro3459117[[#This Row],[JULHO]]</f>
        <v>0</v>
      </c>
      <c r="J91" s="62">
        <f>Fluxo_de_Caixa_Janeiro345911710[[#This Row],[AGOSTO]]</f>
        <v>0</v>
      </c>
      <c r="K91" s="62">
        <f>Fluxo_de_Caixa_Janeiro34591171012[[#This Row],[SETEMBRO]]</f>
        <v>0</v>
      </c>
      <c r="L91" s="62">
        <f>Fluxo_de_Caixa_Janeiro3459117101215[[#This Row],[OUTUBRO]]</f>
        <v>0</v>
      </c>
      <c r="M91" s="62">
        <f>Fluxo_de_Caixa_Janeiro345911710121516[[#This Row],[NOVEMBRO]]</f>
        <v>0</v>
      </c>
      <c r="N91" s="119">
        <f>Fluxo_de_Caixa_Janeiro34591171012151619[[#This Row],[DEZEMBRO]]</f>
        <v>0</v>
      </c>
      <c r="O91" s="224">
        <f>SUM(Fluxo_de_Caixa_Janeiro31020818[[#This Row],[Janeiro]:[Dezembro]])</f>
        <v>1012.21</v>
      </c>
      <c r="P91" s="194">
        <f t="shared" si="6"/>
        <v>2.1841021641519842E-4</v>
      </c>
      <c r="Q91" s="194"/>
      <c r="R91" s="32" t="str">
        <f>IF(Fluxo_de_Caixa_Janeiro31020818[[#This Row],[% ACUMULADO  ANO 2026]]&lt;=Fluxo_de_Caixa_Janeiro31020818[[#This Row],[Coluna1]],"VERDADEIRO","FALSO")</f>
        <v>FALSO</v>
      </c>
    </row>
    <row r="92" spans="1:20" x14ac:dyDescent="0.25">
      <c r="B92" s="55" t="str">
        <f>Fluxo_de_Caixa_Janeiro[[#This Row],[Fluxo de Caixa 2026 CTR]]</f>
        <v>3.1.04.DIARIAS E DESPESAS COM VENDEDOR (passagem ônibus, hotel. Etc)</v>
      </c>
      <c r="C92" s="35">
        <f>Fluxo_de_Caixa_Janeiro[[#This Row],[Janeiro]]</f>
        <v>0</v>
      </c>
      <c r="D92" s="62">
        <f>Fluxo_de_Caixa_Janeiro3[[#This Row],[Fevereiro]]</f>
        <v>0</v>
      </c>
      <c r="E92" s="62">
        <f>Fluxo_de_Caixa_Janeiro34[[#This Row],[Março]]</f>
        <v>0</v>
      </c>
      <c r="F92" s="62">
        <f>Fluxo_de_Caixa_Janeiro345[[#This Row],[ABRIL]]</f>
        <v>0</v>
      </c>
      <c r="G92" s="62">
        <f>Fluxo_de_Caixa_Janeiro3459[[#This Row],[MAIO]]</f>
        <v>0</v>
      </c>
      <c r="H92" s="62">
        <f>Fluxo_de_Caixa_Janeiro345911[[#This Row],[JUNHO]]</f>
        <v>0</v>
      </c>
      <c r="I92" s="35">
        <f>Fluxo_de_Caixa_Janeiro3459117[[#This Row],[JULHO]]</f>
        <v>0</v>
      </c>
      <c r="J92" s="62">
        <f>Fluxo_de_Caixa_Janeiro345911710[[#This Row],[AGOSTO]]</f>
        <v>0</v>
      </c>
      <c r="K92" s="62">
        <f>Fluxo_de_Caixa_Janeiro34591171012[[#This Row],[SETEMBRO]]</f>
        <v>0</v>
      </c>
      <c r="L92" s="62">
        <f>Fluxo_de_Caixa_Janeiro3459117101215[[#This Row],[OUTUBRO]]</f>
        <v>0</v>
      </c>
      <c r="M92" s="62">
        <f>Fluxo_de_Caixa_Janeiro345911710121516[[#This Row],[NOVEMBRO]]</f>
        <v>0</v>
      </c>
      <c r="N92" s="119">
        <f>Fluxo_de_Caixa_Janeiro34591171012151619[[#This Row],[DEZEMBRO]]</f>
        <v>0</v>
      </c>
      <c r="O92" s="224">
        <f>SUM(Fluxo_de_Caixa_Janeiro31020818[[#This Row],[Janeiro]:[Dezembro]])</f>
        <v>0</v>
      </c>
      <c r="P92" s="194">
        <f t="shared" si="6"/>
        <v>0</v>
      </c>
      <c r="Q92" s="194"/>
      <c r="R92" s="32" t="str">
        <f>IF(Fluxo_de_Caixa_Janeiro31020818[[#This Row],[% ACUMULADO  ANO 2026]]&lt;=Fluxo_de_Caixa_Janeiro31020818[[#This Row],[Coluna1]],"VERDADEIRO","FALSO")</f>
        <v>VERDADEIRO</v>
      </c>
    </row>
    <row r="93" spans="1:20" x14ac:dyDescent="0.25">
      <c r="B93" s="55" t="str">
        <f>Fluxo_de_Caixa_Janeiro[[#This Row],[Fluxo de Caixa 2026 CTR]]</f>
        <v>3.1.05. Comissão Representente Comercial</v>
      </c>
      <c r="C93" s="35">
        <f>Fluxo_de_Caixa_Janeiro[[#This Row],[Janeiro]]</f>
        <v>34232.57</v>
      </c>
      <c r="D93" s="62">
        <f>Fluxo_de_Caixa_Janeiro3[[#This Row],[Fevereiro]]</f>
        <v>57815.85</v>
      </c>
      <c r="E93" s="62">
        <f>Fluxo_de_Caixa_Janeiro34[[#This Row],[Março]]</f>
        <v>34661.589999999997</v>
      </c>
      <c r="F93" s="62">
        <f>Fluxo_de_Caixa_Janeiro345[[#This Row],[ABRIL]]</f>
        <v>22420.65</v>
      </c>
      <c r="G93" s="62">
        <f>Fluxo_de_Caixa_Janeiro3459[[#This Row],[MAIO]]</f>
        <v>12104.98</v>
      </c>
      <c r="H93" s="62">
        <f>Fluxo_de_Caixa_Janeiro345911[[#This Row],[JUNHO]]</f>
        <v>0</v>
      </c>
      <c r="I93" s="35">
        <f>Fluxo_de_Caixa_Janeiro3459117[[#This Row],[JULHO]]</f>
        <v>0</v>
      </c>
      <c r="J93" s="62">
        <f>Fluxo_de_Caixa_Janeiro345911710[[#This Row],[AGOSTO]]</f>
        <v>0</v>
      </c>
      <c r="K93" s="62">
        <f>Fluxo_de_Caixa_Janeiro34591171012[[#This Row],[SETEMBRO]]</f>
        <v>0</v>
      </c>
      <c r="L93" s="62">
        <f>Fluxo_de_Caixa_Janeiro3459117101215[[#This Row],[OUTUBRO]]</f>
        <v>0</v>
      </c>
      <c r="M93" s="62">
        <f>Fluxo_de_Caixa_Janeiro345911710121516[[#This Row],[NOVEMBRO]]</f>
        <v>0</v>
      </c>
      <c r="N93" s="119">
        <f>Fluxo_de_Caixa_Janeiro34591171012151619[[#This Row],[DEZEMBRO]]</f>
        <v>0</v>
      </c>
      <c r="O93" s="224">
        <f>SUM(Fluxo_de_Caixa_Janeiro31020818[[#This Row],[Janeiro]:[Dezembro]])</f>
        <v>161235.64000000001</v>
      </c>
      <c r="P93" s="194">
        <f t="shared" si="6"/>
        <v>3.4790716379252351E-2</v>
      </c>
      <c r="Q93" s="194"/>
      <c r="R93" s="32" t="str">
        <f>IF(Fluxo_de_Caixa_Janeiro31020818[[#This Row],[% ACUMULADO  ANO 2026]]&lt;=Fluxo_de_Caixa_Janeiro31020818[[#This Row],[Coluna1]],"VERDADEIRO","FALSO")</f>
        <v>FALSO</v>
      </c>
    </row>
    <row r="94" spans="1:20" x14ac:dyDescent="0.25">
      <c r="B94" s="55" t="str">
        <f>Fluxo_de_Caixa_Janeiro[[#This Row],[Fluxo de Caixa 2026 CTR]]</f>
        <v>3.1.06. Frete com entrega de vendas</v>
      </c>
      <c r="C94" s="35">
        <f>Fluxo_de_Caixa_Janeiro[[#This Row],[Janeiro]]</f>
        <v>5767.8</v>
      </c>
      <c r="D94" s="62">
        <f>Fluxo_de_Caixa_Janeiro3[[#This Row],[Fevereiro]]</f>
        <v>5208.04</v>
      </c>
      <c r="E94" s="62">
        <f>Fluxo_de_Caixa_Janeiro34[[#This Row],[Março]]</f>
        <v>5007.88</v>
      </c>
      <c r="F94" s="62">
        <f>Fluxo_de_Caixa_Janeiro345[[#This Row],[ABRIL]]</f>
        <v>4269.79</v>
      </c>
      <c r="G94" s="62">
        <f>Fluxo_de_Caixa_Janeiro3459[[#This Row],[MAIO]]</f>
        <v>1680</v>
      </c>
      <c r="H94" s="62">
        <f>Fluxo_de_Caixa_Janeiro345911[[#This Row],[JUNHO]]</f>
        <v>0</v>
      </c>
      <c r="I94" s="35">
        <f>Fluxo_de_Caixa_Janeiro3459117[[#This Row],[JULHO]]</f>
        <v>0</v>
      </c>
      <c r="J94" s="62">
        <f>Fluxo_de_Caixa_Janeiro345911710[[#This Row],[AGOSTO]]</f>
        <v>0</v>
      </c>
      <c r="K94" s="62">
        <f>Fluxo_de_Caixa_Janeiro34591171012[[#This Row],[SETEMBRO]]</f>
        <v>0</v>
      </c>
      <c r="L94" s="62">
        <f>Fluxo_de_Caixa_Janeiro3459117101215[[#This Row],[OUTUBRO]]</f>
        <v>0</v>
      </c>
      <c r="M94" s="62">
        <f>Fluxo_de_Caixa_Janeiro345911710121516[[#This Row],[NOVEMBRO]]</f>
        <v>0</v>
      </c>
      <c r="N94" s="119">
        <f>Fluxo_de_Caixa_Janeiro34591171012151619[[#This Row],[DEZEMBRO]]</f>
        <v>0</v>
      </c>
      <c r="O94" s="224">
        <f>SUM(Fluxo_de_Caixa_Janeiro31020818[[#This Row],[Janeiro]:[Dezembro]])</f>
        <v>21933.510000000002</v>
      </c>
      <c r="P94" s="194">
        <f t="shared" si="6"/>
        <v>4.7327162010303387E-3</v>
      </c>
      <c r="Q94" s="194"/>
      <c r="R94" s="32" t="str">
        <f>IF(Fluxo_de_Caixa_Janeiro31020818[[#This Row],[% ACUMULADO  ANO 2026]]&lt;=Fluxo_de_Caixa_Janeiro31020818[[#This Row],[Coluna1]],"VERDADEIRO","FALSO")</f>
        <v>FALSO</v>
      </c>
      <c r="S94" s="287">
        <f>Fluxo_de_Caixa_Janeiro31020818[[#This Row],[Total ano]]/10</f>
        <v>2193.3510000000001</v>
      </c>
    </row>
    <row r="95" spans="1:20" x14ac:dyDescent="0.25">
      <c r="B95" s="55" t="str">
        <f>Fluxo_de_Caixa_Janeiro[[#This Row],[Fluxo de Caixa 2026 CTR]]</f>
        <v>3.1.07. TAXAS C/ CART CRÉD/DÉBIT</v>
      </c>
      <c r="C95" s="35">
        <f>Fluxo_de_Caixa_Janeiro[[#This Row],[Janeiro]]</f>
        <v>17461.460000000003</v>
      </c>
      <c r="D95" s="62">
        <f>Fluxo_de_Caixa_Janeiro3[[#This Row],[Fevereiro]]</f>
        <v>8832.2100000000009</v>
      </c>
      <c r="E95" s="62">
        <f>Fluxo_de_Caixa_Janeiro34[[#This Row],[Março]]</f>
        <v>7791.25</v>
      </c>
      <c r="F95" s="62">
        <f>Fluxo_de_Caixa_Janeiro345[[#This Row],[ABRIL]]</f>
        <v>7272.91</v>
      </c>
      <c r="G95" s="62">
        <f>Fluxo_de_Caixa_Janeiro3459[[#This Row],[MAIO]]</f>
        <v>3846.24</v>
      </c>
      <c r="H95" s="62">
        <f>Fluxo_de_Caixa_Janeiro345911[[#This Row],[JUNHO]]</f>
        <v>0</v>
      </c>
      <c r="I95" s="35">
        <f>Fluxo_de_Caixa_Janeiro3459117[[#This Row],[JULHO]]</f>
        <v>0</v>
      </c>
      <c r="J95" s="62">
        <f>Fluxo_de_Caixa_Janeiro345911710[[#This Row],[AGOSTO]]</f>
        <v>0</v>
      </c>
      <c r="K95" s="62">
        <f>Fluxo_de_Caixa_Janeiro34591171012[[#This Row],[SETEMBRO]]</f>
        <v>0</v>
      </c>
      <c r="L95" s="62">
        <f>Fluxo_de_Caixa_Janeiro3459117101215[[#This Row],[OUTUBRO]]</f>
        <v>0</v>
      </c>
      <c r="M95" s="62">
        <f>Fluxo_de_Caixa_Janeiro345911710121516[[#This Row],[NOVEMBRO]]</f>
        <v>0</v>
      </c>
      <c r="N95" s="119">
        <f>Fluxo_de_Caixa_Janeiro34591171012151619[[#This Row],[DEZEMBRO]]</f>
        <v>0</v>
      </c>
      <c r="O95" s="224">
        <f>SUM(Fluxo_de_Caixa_Janeiro31020818[[#This Row],[Janeiro]:[Dezembro]])</f>
        <v>45204.07</v>
      </c>
      <c r="P95" s="194">
        <f t="shared" si="6"/>
        <v>9.753935163205045E-3</v>
      </c>
      <c r="Q95" s="194"/>
      <c r="R95" s="32" t="str">
        <f>IF(Fluxo_de_Caixa_Janeiro31020818[[#This Row],[% ACUMULADO  ANO 2026]]&lt;=Fluxo_de_Caixa_Janeiro31020818[[#This Row],[Coluna1]],"VERDADEIRO","FALSO")</f>
        <v>FALSO</v>
      </c>
    </row>
    <row r="96" spans="1:20" x14ac:dyDescent="0.25">
      <c r="B96" s="55" t="str">
        <f>Fluxo_de_Caixa_Janeiro[[#This Row],[Fluxo de Caixa 2026 CTR]]</f>
        <v>3.1.08. Serviço Motoboy Entrega Vendas</v>
      </c>
      <c r="C96" s="35">
        <f>Fluxo_de_Caixa_Janeiro[[#This Row],[Janeiro]]</f>
        <v>0</v>
      </c>
      <c r="D96" s="62">
        <f>Fluxo_de_Caixa_Janeiro3[[#This Row],[Fevereiro]]</f>
        <v>0</v>
      </c>
      <c r="E96" s="62">
        <f>Fluxo_de_Caixa_Janeiro34[[#This Row],[Março]]</f>
        <v>0</v>
      </c>
      <c r="F96" s="62">
        <f>Fluxo_de_Caixa_Janeiro345[[#This Row],[ABRIL]]</f>
        <v>0</v>
      </c>
      <c r="G96" s="62">
        <f>Fluxo_de_Caixa_Janeiro3459[[#This Row],[MAIO]]</f>
        <v>0</v>
      </c>
      <c r="H96" s="62">
        <f>Fluxo_de_Caixa_Janeiro345911[[#This Row],[JUNHO]]</f>
        <v>0</v>
      </c>
      <c r="I96" s="35">
        <f>Fluxo_de_Caixa_Janeiro3459117[[#This Row],[JULHO]]</f>
        <v>0</v>
      </c>
      <c r="J96" s="62">
        <f>Fluxo_de_Caixa_Janeiro345911710[[#This Row],[AGOSTO]]</f>
        <v>0</v>
      </c>
      <c r="K96" s="62">
        <f>Fluxo_de_Caixa_Janeiro34591171012[[#This Row],[SETEMBRO]]</f>
        <v>0</v>
      </c>
      <c r="L96" s="62">
        <f>Fluxo_de_Caixa_Janeiro3459117101215[[#This Row],[OUTUBRO]]</f>
        <v>0</v>
      </c>
      <c r="M96" s="62">
        <f>Fluxo_de_Caixa_Janeiro345911710121516[[#This Row],[NOVEMBRO]]</f>
        <v>0</v>
      </c>
      <c r="N96" s="119">
        <f>Fluxo_de_Caixa_Janeiro34591171012151619[[#This Row],[DEZEMBRO]]</f>
        <v>0</v>
      </c>
      <c r="O96" s="224">
        <f>SUM(Fluxo_de_Caixa_Janeiro31020818[[#This Row],[Janeiro]:[Dezembro]])</f>
        <v>0</v>
      </c>
      <c r="P96" s="194">
        <f t="shared" si="6"/>
        <v>0</v>
      </c>
      <c r="Q96" s="194"/>
      <c r="R96" s="32" t="str">
        <f>IF(Fluxo_de_Caixa_Janeiro31020818[[#This Row],[% ACUMULADO  ANO 2026]]&lt;=Fluxo_de_Caixa_Janeiro31020818[[#This Row],[Coluna1]],"VERDADEIRO","FALSO")</f>
        <v>VERDADEIRO</v>
      </c>
    </row>
    <row r="97" spans="1:20" ht="15.75" thickBot="1" x14ac:dyDescent="0.3">
      <c r="B97" s="55" t="str">
        <f>Fluxo_de_Caixa_Janeiro[[#This Row],[Fluxo de Caixa 2026 CTR]]</f>
        <v>3.1.09. PGTO DISTRATO REPRES COMERCIAL</v>
      </c>
      <c r="C97" s="35">
        <f>Fluxo_de_Caixa_Janeiro[[#This Row],[Janeiro]]</f>
        <v>0</v>
      </c>
      <c r="D97" s="62">
        <f>Fluxo_de_Caixa_Janeiro3[[#This Row],[Fevereiro]]</f>
        <v>0</v>
      </c>
      <c r="E97" s="62">
        <f>Fluxo_de_Caixa_Janeiro34[[#This Row],[Março]]</f>
        <v>0</v>
      </c>
      <c r="F97" s="62">
        <f>Fluxo_de_Caixa_Janeiro345[[#This Row],[ABRIL]]</f>
        <v>0</v>
      </c>
      <c r="G97" s="62">
        <f>Fluxo_de_Caixa_Janeiro3459[[#This Row],[MAIO]]</f>
        <v>0</v>
      </c>
      <c r="H97" s="62">
        <f>Fluxo_de_Caixa_Janeiro345911[[#This Row],[JUNHO]]</f>
        <v>0</v>
      </c>
      <c r="I97" s="35">
        <f>Fluxo_de_Caixa_Janeiro3459117[[#This Row],[JULHO]]</f>
        <v>0</v>
      </c>
      <c r="J97" s="62">
        <f>Fluxo_de_Caixa_Janeiro345911710[[#This Row],[AGOSTO]]</f>
        <v>0</v>
      </c>
      <c r="K97" s="62">
        <f>Fluxo_de_Caixa_Janeiro34591171012[[#This Row],[SETEMBRO]]</f>
        <v>0</v>
      </c>
      <c r="L97" s="62">
        <f>Fluxo_de_Caixa_Janeiro3459117101215[[#This Row],[OUTUBRO]]</f>
        <v>0</v>
      </c>
      <c r="M97" s="62">
        <f>Fluxo_de_Caixa_Janeiro345911710121516[[#This Row],[NOVEMBRO]]</f>
        <v>0</v>
      </c>
      <c r="N97" s="119">
        <f>Fluxo_de_Caixa_Janeiro34591171012151619[[#This Row],[DEZEMBRO]]</f>
        <v>0</v>
      </c>
      <c r="O97" s="224">
        <f>SUM(Fluxo_de_Caixa_Janeiro31020818[[#This Row],[Janeiro]:[Dezembro]])</f>
        <v>0</v>
      </c>
      <c r="P97" s="194">
        <f t="shared" si="6"/>
        <v>0</v>
      </c>
      <c r="Q97" s="194"/>
      <c r="R97" s="32" t="str">
        <f>IF(Fluxo_de_Caixa_Janeiro31020818[[#This Row],[% ACUMULADO  ANO 2026]]&lt;=Fluxo_de_Caixa_Janeiro31020818[[#This Row],[Coluna1]],"VERDADEIRO","FALSO")</f>
        <v>VERDADEIRO</v>
      </c>
    </row>
    <row r="98" spans="1:20" hidden="1" x14ac:dyDescent="0.25">
      <c r="B98" s="55" t="str">
        <f>Fluxo_de_Caixa_Janeiro[[#This Row],[Fluxo de Caixa 2026 CTR]]</f>
        <v>3.1.10. TARIFA PIX RECEBIDO</v>
      </c>
      <c r="C98" s="35">
        <f>Fluxo_de_Caixa_Janeiro[[#This Row],[Janeiro]]</f>
        <v>49.06</v>
      </c>
      <c r="D98" s="62">
        <f>Fluxo_de_Caixa_Janeiro3[[#This Row],[Fevereiro]]</f>
        <v>57</v>
      </c>
      <c r="E98" s="62">
        <f>Fluxo_de_Caixa_Janeiro34[[#This Row],[Março]]</f>
        <v>120.46</v>
      </c>
      <c r="F98" s="62">
        <f>Fluxo_de_Caixa_Janeiro345[[#This Row],[ABRIL]]</f>
        <v>32.54</v>
      </c>
      <c r="G98" s="62">
        <f>Fluxo_de_Caixa_Janeiro3459[[#This Row],[MAIO]]</f>
        <v>84.28</v>
      </c>
      <c r="H98" s="62">
        <f>Fluxo_de_Caixa_Janeiro345911[[#This Row],[JUNHO]]</f>
        <v>0</v>
      </c>
      <c r="I98" s="35">
        <f>Fluxo_de_Caixa_Janeiro3459117[[#This Row],[JULHO]]</f>
        <v>0</v>
      </c>
      <c r="J98" s="62">
        <f>Fluxo_de_Caixa_Janeiro345911710[[#This Row],[AGOSTO]]</f>
        <v>0</v>
      </c>
      <c r="K98" s="62">
        <f>Fluxo_de_Caixa_Janeiro34591171012[[#This Row],[SETEMBRO]]</f>
        <v>0</v>
      </c>
      <c r="L98" s="62">
        <f>Fluxo_de_Caixa_Janeiro3459117101215[[#This Row],[OUTUBRO]]</f>
        <v>0</v>
      </c>
      <c r="M98" s="62">
        <f>Fluxo_de_Caixa_Janeiro345911710121516[[#This Row],[NOVEMBRO]]</f>
        <v>0</v>
      </c>
      <c r="N98" s="119">
        <f>Fluxo_de_Caixa_Janeiro34591171012151619[[#This Row],[DEZEMBRO]]</f>
        <v>0</v>
      </c>
      <c r="O98" s="224">
        <f>SUM(Fluxo_de_Caixa_Janeiro31020818[[#This Row],[Janeiro]:[Dezembro]])</f>
        <v>343.34000000000003</v>
      </c>
      <c r="P98" s="194">
        <f t="shared" si="6"/>
        <v>7.4084393262262006E-5</v>
      </c>
      <c r="Q98" s="194"/>
      <c r="R98" s="32" t="str">
        <f>IF(Fluxo_de_Caixa_Janeiro31020818[[#This Row],[% ACUMULADO  ANO 2026]]&lt;=Fluxo_de_Caixa_Janeiro31020818[[#This Row],[Coluna1]],"VERDADEIRO","FALSO")</f>
        <v>FALSO</v>
      </c>
    </row>
    <row r="99" spans="1:20" ht="15.75" hidden="1" thickBot="1" x14ac:dyDescent="0.3">
      <c r="B99" s="276">
        <f>Fluxo_de_Caixa_Janeiro[[#This Row],[Fluxo de Caixa 2026 CTR]]</f>
        <v>0</v>
      </c>
      <c r="C99" s="36">
        <f>Fluxo_de_Caixa_Janeiro[[#This Row],[Janeiro]]</f>
        <v>0</v>
      </c>
      <c r="D99" s="82">
        <f>Fluxo_de_Caixa_Janeiro3[[#This Row],[Fevereiro]]</f>
        <v>0</v>
      </c>
      <c r="E99" s="82">
        <f>Fluxo_de_Caixa_Janeiro34[[#This Row],[Março]]</f>
        <v>0</v>
      </c>
      <c r="F99" s="82">
        <f>Fluxo_de_Caixa_Janeiro345[[#This Row],[ABRIL]]</f>
        <v>0</v>
      </c>
      <c r="G99" s="82">
        <f>Fluxo_de_Caixa_Janeiro3459[[#This Row],[MAIO]]</f>
        <v>0</v>
      </c>
      <c r="H99" s="82">
        <f>Fluxo_de_Caixa_Janeiro345911[[#This Row],[JUNHO]]</f>
        <v>0</v>
      </c>
      <c r="I99" s="36">
        <f>Fluxo_de_Caixa_Janeiro3459117[[#This Row],[JULHO]]</f>
        <v>0</v>
      </c>
      <c r="J99" s="82">
        <f>Fluxo_de_Caixa_Janeiro345911710[[#This Row],[AGOSTO]]</f>
        <v>0</v>
      </c>
      <c r="K99" s="82">
        <f>Fluxo_de_Caixa_Janeiro34591171012[[#This Row],[SETEMBRO]]</f>
        <v>0</v>
      </c>
      <c r="L99" s="82">
        <f>Fluxo_de_Caixa_Janeiro3459117101215[[#This Row],[OUTUBRO]]</f>
        <v>0</v>
      </c>
      <c r="M99" s="82">
        <f>Fluxo_de_Caixa_Janeiro345911710121516[[#This Row],[NOVEMBRO]]</f>
        <v>0</v>
      </c>
      <c r="N99" s="120">
        <f>Fluxo_de_Caixa_Janeiro34591171012151619[[#This Row],[DEZEMBRO]]</f>
        <v>0</v>
      </c>
      <c r="O99" s="225">
        <f>SUM(Fluxo_de_Caixa_Janeiro31020818[[#This Row],[Janeiro]:[Dezembro]])</f>
        <v>0</v>
      </c>
      <c r="P99" s="195">
        <f t="shared" si="6"/>
        <v>0</v>
      </c>
      <c r="Q99" s="195"/>
      <c r="R99" s="32" t="str">
        <f>IF(Fluxo_de_Caixa_Janeiro31020818[[#This Row],[% ACUMULADO  ANO 2026]]&lt;=Fluxo_de_Caixa_Janeiro31020818[[#This Row],[Coluna1]],"VERDADEIRO","FALSO")</f>
        <v>VERDADEIRO</v>
      </c>
    </row>
    <row r="100" spans="1:20" ht="19.5" thickBot="1" x14ac:dyDescent="0.35">
      <c r="A100" s="15" t="s">
        <v>3</v>
      </c>
      <c r="B100" s="168" t="str">
        <f>Fluxo_de_Caixa_Janeiro[[#This Row],[Fluxo de Caixa 2026 CTR]]</f>
        <v>3.2. DESPESA COM FUNCIONÁRIO</v>
      </c>
      <c r="C100" s="158">
        <f>Fluxo_de_Caixa_Janeiro[[#This Row],[Janeiro]]</f>
        <v>-64579.58</v>
      </c>
      <c r="D100" s="97">
        <f>Fluxo_de_Caixa_Janeiro3[[#This Row],[Fevereiro]]</f>
        <v>-65616.5</v>
      </c>
      <c r="E100" s="97">
        <f>Fluxo_de_Caixa_Janeiro34[[#This Row],[Março]]</f>
        <v>-99956.93</v>
      </c>
      <c r="F100" s="97">
        <f>Fluxo_de_Caixa_Janeiro345[[#This Row],[ABRIL]]</f>
        <v>-84685.599999999991</v>
      </c>
      <c r="G100" s="97">
        <f>Fluxo_de_Caixa_Janeiro3459[[#This Row],[MAIO]]</f>
        <v>-71371.38</v>
      </c>
      <c r="H100" s="97">
        <f>Fluxo_de_Caixa_Janeiro345911[[#This Row],[JUNHO]]</f>
        <v>0</v>
      </c>
      <c r="I100" s="158">
        <f>Fluxo_de_Caixa_Janeiro3459117[[#This Row],[JULHO]]</f>
        <v>0</v>
      </c>
      <c r="J100" s="97">
        <f>Fluxo_de_Caixa_Janeiro345911710[[#This Row],[AGOSTO]]</f>
        <v>0</v>
      </c>
      <c r="K100" s="97">
        <f>Fluxo_de_Caixa_Janeiro34591171012[[#This Row],[SETEMBRO]]</f>
        <v>0</v>
      </c>
      <c r="L100" s="97">
        <f>Fluxo_de_Caixa_Janeiro3459117101215[[#This Row],[OUTUBRO]]</f>
        <v>0</v>
      </c>
      <c r="M100" s="97">
        <f>Fluxo_de_Caixa_Janeiro345911710121516[[#This Row],[NOVEMBRO]]</f>
        <v>0</v>
      </c>
      <c r="N100" s="129">
        <f>Fluxo_de_Caixa_Janeiro34591171012151619[[#This Row],[DEZEMBRO]]</f>
        <v>0</v>
      </c>
      <c r="O100" s="226">
        <f>SUM(Fluxo_de_Caixa_Janeiro31020818[[#This Row],[Janeiro]:[Dezembro]])</f>
        <v>-386209.99</v>
      </c>
      <c r="P100" s="144">
        <f>-IFERROR(O100/$O$27,"0,00")</f>
        <v>8.3334690921460577E-2</v>
      </c>
      <c r="Q100" s="144"/>
      <c r="R100" s="32" t="str">
        <f>IF(Fluxo_de_Caixa_Janeiro31020818[[#This Row],[% ACUMULADO  ANO 2026]]&lt;=Fluxo_de_Caixa_Janeiro31020818[[#This Row],[Coluna1]],"VERDADEIRO","FALSO")</f>
        <v>FALSO</v>
      </c>
    </row>
    <row r="101" spans="1:20" x14ac:dyDescent="0.25">
      <c r="B101" s="169" t="str">
        <f>Fluxo_de_Caixa_Janeiro[[#This Row],[Fluxo de Caixa 2026 CTR]]</f>
        <v>3.2.01. Salário (CLT)</v>
      </c>
      <c r="C101" s="41">
        <f>Fluxo_de_Caixa_Janeiro[[#This Row],[Janeiro]]</f>
        <v>31184.5</v>
      </c>
      <c r="D101" s="81">
        <f>Fluxo_de_Caixa_Janeiro3[[#This Row],[Fevereiro]]</f>
        <v>33069.85</v>
      </c>
      <c r="E101" s="81">
        <f>Fluxo_de_Caixa_Janeiro34[[#This Row],[Março]]</f>
        <v>33411.65</v>
      </c>
      <c r="F101" s="81">
        <f>Fluxo_de_Caixa_Janeiro345[[#This Row],[ABRIL]]</f>
        <v>35339.78</v>
      </c>
      <c r="G101" s="81">
        <f>Fluxo_de_Caixa_Janeiro3459[[#This Row],[MAIO]]</f>
        <v>35053.78</v>
      </c>
      <c r="H101" s="81">
        <f>Fluxo_de_Caixa_Janeiro345911[[#This Row],[JUNHO]]</f>
        <v>0</v>
      </c>
      <c r="I101" s="41">
        <f>Fluxo_de_Caixa_Janeiro3459117[[#This Row],[JULHO]]</f>
        <v>0</v>
      </c>
      <c r="J101" s="81">
        <f>Fluxo_de_Caixa_Janeiro345911710[[#This Row],[AGOSTO]]</f>
        <v>0</v>
      </c>
      <c r="K101" s="81">
        <f>Fluxo_de_Caixa_Janeiro34591171012[[#This Row],[SETEMBRO]]</f>
        <v>0</v>
      </c>
      <c r="L101" s="81">
        <f>Fluxo_de_Caixa_Janeiro3459117101215[[#This Row],[OUTUBRO]]</f>
        <v>0</v>
      </c>
      <c r="M101" s="81">
        <f>Fluxo_de_Caixa_Janeiro345911710121516[[#This Row],[NOVEMBRO]]</f>
        <v>0</v>
      </c>
      <c r="N101" s="118">
        <f>Fluxo_de_Caixa_Janeiro34591171012151619[[#This Row],[DEZEMBRO]]</f>
        <v>0</v>
      </c>
      <c r="O101" s="223">
        <f>SUM(Fluxo_de_Caixa_Janeiro31020818[[#This Row],[Janeiro]:[Dezembro]])</f>
        <v>168059.56</v>
      </c>
      <c r="P101" s="193">
        <f t="shared" ref="P101:P130" si="7">IFERROR(O101/$O$27,"0,00%")</f>
        <v>3.6263151786924672E-2</v>
      </c>
      <c r="Q101" s="193"/>
      <c r="R101" s="32" t="str">
        <f>IF(Fluxo_de_Caixa_Janeiro31020818[[#This Row],[% ACUMULADO  ANO 2026]]&lt;=Fluxo_de_Caixa_Janeiro31020818[[#This Row],[Coluna1]],"VERDADEIRO","FALSO")</f>
        <v>FALSO</v>
      </c>
    </row>
    <row r="102" spans="1:20" x14ac:dyDescent="0.25">
      <c r="B102" s="55" t="str">
        <f>Fluxo_de_Caixa_Janeiro[[#This Row],[Fluxo de Caixa 2026 CTR]]</f>
        <v>3.2.02. Adiantamento Salários/Vales</v>
      </c>
      <c r="C102" s="35">
        <f>Fluxo_de_Caixa_Janeiro[[#This Row],[Janeiro]]</f>
        <v>1400</v>
      </c>
      <c r="D102" s="62">
        <f>Fluxo_de_Caixa_Janeiro3[[#This Row],[Fevereiro]]</f>
        <v>800</v>
      </c>
      <c r="E102" s="62">
        <f>Fluxo_de_Caixa_Janeiro34[[#This Row],[Março]]</f>
        <v>1450</v>
      </c>
      <c r="F102" s="62">
        <f>Fluxo_de_Caixa_Janeiro345[[#This Row],[ABRIL]]</f>
        <v>1900</v>
      </c>
      <c r="G102" s="62">
        <f>Fluxo_de_Caixa_Janeiro3459[[#This Row],[MAIO]]</f>
        <v>1660</v>
      </c>
      <c r="H102" s="62">
        <f>Fluxo_de_Caixa_Janeiro345911[[#This Row],[JUNHO]]</f>
        <v>0</v>
      </c>
      <c r="I102" s="35">
        <f>Fluxo_de_Caixa_Janeiro3459117[[#This Row],[JULHO]]</f>
        <v>0</v>
      </c>
      <c r="J102" s="62">
        <f>Fluxo_de_Caixa_Janeiro345911710[[#This Row],[AGOSTO]]</f>
        <v>0</v>
      </c>
      <c r="K102" s="62">
        <f>Fluxo_de_Caixa_Janeiro34591171012[[#This Row],[SETEMBRO]]</f>
        <v>0</v>
      </c>
      <c r="L102" s="62">
        <f>Fluxo_de_Caixa_Janeiro3459117101215[[#This Row],[OUTUBRO]]</f>
        <v>0</v>
      </c>
      <c r="M102" s="62">
        <f>Fluxo_de_Caixa_Janeiro345911710121516[[#This Row],[NOVEMBRO]]</f>
        <v>0</v>
      </c>
      <c r="N102" s="119">
        <f>Fluxo_de_Caixa_Janeiro34591171012151619[[#This Row],[DEZEMBRO]]</f>
        <v>0</v>
      </c>
      <c r="O102" s="224">
        <f>SUM(Fluxo_de_Caixa_Janeiro31020818[[#This Row],[Janeiro]:[Dezembro]])</f>
        <v>7210</v>
      </c>
      <c r="P102" s="194">
        <f t="shared" si="7"/>
        <v>1.5557420499240084E-3</v>
      </c>
      <c r="Q102" s="194"/>
      <c r="R102" s="32" t="str">
        <f>IF(Fluxo_de_Caixa_Janeiro31020818[[#This Row],[% ACUMULADO  ANO 2026]]&lt;=Fluxo_de_Caixa_Janeiro31020818[[#This Row],[Coluna1]],"VERDADEIRO","FALSO")</f>
        <v>FALSO</v>
      </c>
      <c r="T102" s="287"/>
    </row>
    <row r="103" spans="1:20" x14ac:dyDescent="0.25">
      <c r="B103" s="55" t="str">
        <f>Fluxo_de_Caixa_Janeiro[[#This Row],[Fluxo de Caixa 2026 CTR]]</f>
        <v xml:space="preserve">3.2.03. Auxilio Alimentação/Refeição </v>
      </c>
      <c r="C103" s="35">
        <f>Fluxo_de_Caixa_Janeiro[[#This Row],[Janeiro]]</f>
        <v>3219.28</v>
      </c>
      <c r="D103" s="62">
        <f>Fluxo_de_Caixa_Janeiro3[[#This Row],[Fevereiro]]</f>
        <v>2091.1</v>
      </c>
      <c r="E103" s="62">
        <f>Fluxo_de_Caixa_Janeiro34[[#This Row],[Março]]</f>
        <v>1920.1299999999999</v>
      </c>
      <c r="F103" s="62">
        <f>Fluxo_de_Caixa_Janeiro345[[#This Row],[ABRIL]]</f>
        <v>1070.8900000000001</v>
      </c>
      <c r="G103" s="62">
        <f>Fluxo_de_Caixa_Janeiro3459[[#This Row],[MAIO]]</f>
        <v>1076.98</v>
      </c>
      <c r="H103" s="62">
        <f>Fluxo_de_Caixa_Janeiro345911[[#This Row],[JUNHO]]</f>
        <v>0</v>
      </c>
      <c r="I103" s="35">
        <f>Fluxo_de_Caixa_Janeiro3459117[[#This Row],[JULHO]]</f>
        <v>0</v>
      </c>
      <c r="J103" s="62">
        <f>Fluxo_de_Caixa_Janeiro345911710[[#This Row],[AGOSTO]]</f>
        <v>0</v>
      </c>
      <c r="K103" s="62">
        <f>Fluxo_de_Caixa_Janeiro34591171012[[#This Row],[SETEMBRO]]</f>
        <v>0</v>
      </c>
      <c r="L103" s="62">
        <f>Fluxo_de_Caixa_Janeiro3459117101215[[#This Row],[OUTUBRO]]</f>
        <v>0</v>
      </c>
      <c r="M103" s="62">
        <f>Fluxo_de_Caixa_Janeiro345911710121516[[#This Row],[NOVEMBRO]]</f>
        <v>0</v>
      </c>
      <c r="N103" s="119">
        <f>Fluxo_de_Caixa_Janeiro34591171012151619[[#This Row],[DEZEMBRO]]</f>
        <v>0</v>
      </c>
      <c r="O103" s="224">
        <f>SUM(Fluxo_de_Caixa_Janeiro31020818[[#This Row],[Janeiro]:[Dezembro]])</f>
        <v>9378.3799999999992</v>
      </c>
      <c r="P103" s="194">
        <f t="shared" si="7"/>
        <v>2.0236255376097534E-3</v>
      </c>
      <c r="Q103" s="194"/>
      <c r="R103" s="32" t="str">
        <f>IF(Fluxo_de_Caixa_Janeiro31020818[[#This Row],[% ACUMULADO  ANO 2026]]&lt;=Fluxo_de_Caixa_Janeiro31020818[[#This Row],[Coluna1]],"VERDADEIRO","FALSO")</f>
        <v>FALSO</v>
      </c>
    </row>
    <row r="104" spans="1:20" x14ac:dyDescent="0.25">
      <c r="B104" s="55" t="str">
        <f>Fluxo_de_Caixa_Janeiro[[#This Row],[Fluxo de Caixa 2026 CTR]]</f>
        <v>3.2.04. Auxilio Combustível</v>
      </c>
      <c r="C104" s="35">
        <f>Fluxo_de_Caixa_Janeiro[[#This Row],[Janeiro]]</f>
        <v>0</v>
      </c>
      <c r="D104" s="62">
        <f>Fluxo_de_Caixa_Janeiro3[[#This Row],[Fevereiro]]</f>
        <v>0</v>
      </c>
      <c r="E104" s="62">
        <f>Fluxo_de_Caixa_Janeiro34[[#This Row],[Março]]</f>
        <v>0</v>
      </c>
      <c r="F104" s="62">
        <f>Fluxo_de_Caixa_Janeiro345[[#This Row],[ABRIL]]</f>
        <v>0</v>
      </c>
      <c r="G104" s="62">
        <f>Fluxo_de_Caixa_Janeiro3459[[#This Row],[MAIO]]</f>
        <v>0</v>
      </c>
      <c r="H104" s="62">
        <f>Fluxo_de_Caixa_Janeiro345911[[#This Row],[JUNHO]]</f>
        <v>0</v>
      </c>
      <c r="I104" s="35">
        <f>Fluxo_de_Caixa_Janeiro3459117[[#This Row],[JULHO]]</f>
        <v>0</v>
      </c>
      <c r="J104" s="62">
        <f>Fluxo_de_Caixa_Janeiro345911710[[#This Row],[AGOSTO]]</f>
        <v>0</v>
      </c>
      <c r="K104" s="62">
        <f>Fluxo_de_Caixa_Janeiro34591171012[[#This Row],[SETEMBRO]]</f>
        <v>0</v>
      </c>
      <c r="L104" s="62">
        <f>Fluxo_de_Caixa_Janeiro3459117101215[[#This Row],[OUTUBRO]]</f>
        <v>0</v>
      </c>
      <c r="M104" s="62">
        <f>Fluxo_de_Caixa_Janeiro345911710121516[[#This Row],[NOVEMBRO]]</f>
        <v>0</v>
      </c>
      <c r="N104" s="119">
        <f>Fluxo_de_Caixa_Janeiro34591171012151619[[#This Row],[DEZEMBRO]]</f>
        <v>0</v>
      </c>
      <c r="O104" s="224">
        <f>SUM(Fluxo_de_Caixa_Janeiro31020818[[#This Row],[Janeiro]:[Dezembro]])</f>
        <v>0</v>
      </c>
      <c r="P104" s="194">
        <f t="shared" si="7"/>
        <v>0</v>
      </c>
      <c r="Q104" s="194"/>
      <c r="R104" s="32" t="str">
        <f>IF(Fluxo_de_Caixa_Janeiro31020818[[#This Row],[% ACUMULADO  ANO 2026]]&lt;=Fluxo_de_Caixa_Janeiro31020818[[#This Row],[Coluna1]],"VERDADEIRO","FALSO")</f>
        <v>VERDADEIRO</v>
      </c>
    </row>
    <row r="105" spans="1:20" x14ac:dyDescent="0.25">
      <c r="B105" s="55" t="str">
        <f>Fluxo_de_Caixa_Janeiro[[#This Row],[Fluxo de Caixa 2026 CTR]]</f>
        <v>3.2.05. Seguro de Vida Funcionarios</v>
      </c>
      <c r="C105" s="35">
        <f>Fluxo_de_Caixa_Janeiro[[#This Row],[Janeiro]]</f>
        <v>492.03</v>
      </c>
      <c r="D105" s="62">
        <f>Fluxo_de_Caixa_Janeiro3[[#This Row],[Fevereiro]]</f>
        <v>549.97</v>
      </c>
      <c r="E105" s="62">
        <f>Fluxo_de_Caixa_Janeiro34[[#This Row],[Março]]</f>
        <v>445.17</v>
      </c>
      <c r="F105" s="62">
        <f>Fluxo_de_Caixa_Janeiro345[[#This Row],[ABRIL]]</f>
        <v>445.17</v>
      </c>
      <c r="G105" s="62">
        <f>Fluxo_de_Caixa_Janeiro3459[[#This Row],[MAIO]]</f>
        <v>445.17</v>
      </c>
      <c r="H105" s="62">
        <f>Fluxo_de_Caixa_Janeiro345911[[#This Row],[JUNHO]]</f>
        <v>0</v>
      </c>
      <c r="I105" s="35">
        <f>Fluxo_de_Caixa_Janeiro3459117[[#This Row],[JULHO]]</f>
        <v>0</v>
      </c>
      <c r="J105" s="62">
        <f>Fluxo_de_Caixa_Janeiro345911710[[#This Row],[AGOSTO]]</f>
        <v>0</v>
      </c>
      <c r="K105" s="62">
        <f>Fluxo_de_Caixa_Janeiro34591171012[[#This Row],[SETEMBRO]]</f>
        <v>0</v>
      </c>
      <c r="L105" s="62">
        <f>Fluxo_de_Caixa_Janeiro3459117101215[[#This Row],[OUTUBRO]]</f>
        <v>0</v>
      </c>
      <c r="M105" s="62">
        <f>Fluxo_de_Caixa_Janeiro345911710121516[[#This Row],[NOVEMBRO]]</f>
        <v>0</v>
      </c>
      <c r="N105" s="119">
        <f>Fluxo_de_Caixa_Janeiro34591171012151619[[#This Row],[DEZEMBRO]]</f>
        <v>0</v>
      </c>
      <c r="O105" s="224">
        <f>SUM(Fluxo_de_Caixa_Janeiro31020818[[#This Row],[Janeiro]:[Dezembro]])</f>
        <v>2377.5100000000002</v>
      </c>
      <c r="P105" s="194">
        <f t="shared" si="7"/>
        <v>5.1300863815739663E-4</v>
      </c>
      <c r="Q105" s="194"/>
      <c r="R105" s="32" t="str">
        <f>IF(Fluxo_de_Caixa_Janeiro31020818[[#This Row],[% ACUMULADO  ANO 2026]]&lt;=Fluxo_de_Caixa_Janeiro31020818[[#This Row],[Coluna1]],"VERDADEIRO","FALSO")</f>
        <v>FALSO</v>
      </c>
    </row>
    <row r="106" spans="1:20" x14ac:dyDescent="0.25">
      <c r="B106" s="55" t="str">
        <f>Fluxo_de_Caixa_Janeiro[[#This Row],[Fluxo de Caixa 2026 CTR]]</f>
        <v>3.2.06. Confraternização e premiação</v>
      </c>
      <c r="C106" s="35">
        <f>Fluxo_de_Caixa_Janeiro[[#This Row],[Janeiro]]</f>
        <v>650.47</v>
      </c>
      <c r="D106" s="62">
        <f>Fluxo_de_Caixa_Janeiro3[[#This Row],[Fevereiro]]</f>
        <v>438.77</v>
      </c>
      <c r="E106" s="62">
        <f>Fluxo_de_Caixa_Janeiro34[[#This Row],[Março]]</f>
        <v>2053.42</v>
      </c>
      <c r="F106" s="62">
        <f>Fluxo_de_Caixa_Janeiro345[[#This Row],[ABRIL]]</f>
        <v>10852.63</v>
      </c>
      <c r="G106" s="62">
        <f>Fluxo_de_Caixa_Janeiro3459[[#This Row],[MAIO]]</f>
        <v>6869.42</v>
      </c>
      <c r="H106" s="62">
        <f>Fluxo_de_Caixa_Janeiro345911[[#This Row],[JUNHO]]</f>
        <v>0</v>
      </c>
      <c r="I106" s="35">
        <f>Fluxo_de_Caixa_Janeiro3459117[[#This Row],[JULHO]]</f>
        <v>0</v>
      </c>
      <c r="J106" s="62">
        <f>Fluxo_de_Caixa_Janeiro345911710[[#This Row],[AGOSTO]]</f>
        <v>0</v>
      </c>
      <c r="K106" s="62">
        <f>Fluxo_de_Caixa_Janeiro34591171012[[#This Row],[SETEMBRO]]</f>
        <v>0</v>
      </c>
      <c r="L106" s="62">
        <f>Fluxo_de_Caixa_Janeiro3459117101215[[#This Row],[OUTUBRO]]</f>
        <v>0</v>
      </c>
      <c r="M106" s="62">
        <f>Fluxo_de_Caixa_Janeiro345911710121516[[#This Row],[NOVEMBRO]]</f>
        <v>0</v>
      </c>
      <c r="N106" s="119">
        <f>Fluxo_de_Caixa_Janeiro34591171012151619[[#This Row],[DEZEMBRO]]</f>
        <v>0</v>
      </c>
      <c r="O106" s="224">
        <f>SUM(Fluxo_de_Caixa_Janeiro31020818[[#This Row],[Janeiro]:[Dezembro]])</f>
        <v>20864.71</v>
      </c>
      <c r="P106" s="194">
        <f t="shared" si="7"/>
        <v>4.5020952436158048E-3</v>
      </c>
      <c r="Q106" s="194"/>
      <c r="R106" s="32" t="str">
        <f>IF(Fluxo_de_Caixa_Janeiro31020818[[#This Row],[% ACUMULADO  ANO 2026]]&lt;=Fluxo_de_Caixa_Janeiro31020818[[#This Row],[Coluna1]],"VERDADEIRO","FALSO")</f>
        <v>FALSO</v>
      </c>
    </row>
    <row r="107" spans="1:20" x14ac:dyDescent="0.25">
      <c r="B107" s="55" t="str">
        <f>Fluxo_de_Caixa_Janeiro[[#This Row],[Fluxo de Caixa 2026 CTR]]</f>
        <v>3.2.07. Viagens e Estadias Funcionarios</v>
      </c>
      <c r="C107" s="35">
        <f>Fluxo_de_Caixa_Janeiro[[#This Row],[Janeiro]]</f>
        <v>0</v>
      </c>
      <c r="D107" s="62">
        <f>Fluxo_de_Caixa_Janeiro3[[#This Row],[Fevereiro]]</f>
        <v>0</v>
      </c>
      <c r="E107" s="62">
        <f>Fluxo_de_Caixa_Janeiro34[[#This Row],[Março]]</f>
        <v>1723.96</v>
      </c>
      <c r="F107" s="62">
        <f>Fluxo_de_Caixa_Janeiro345[[#This Row],[ABRIL]]</f>
        <v>1050</v>
      </c>
      <c r="G107" s="62">
        <f>Fluxo_de_Caixa_Janeiro3459[[#This Row],[MAIO]]</f>
        <v>350</v>
      </c>
      <c r="H107" s="62">
        <f>Fluxo_de_Caixa_Janeiro345911[[#This Row],[JUNHO]]</f>
        <v>0</v>
      </c>
      <c r="I107" s="35">
        <f>Fluxo_de_Caixa_Janeiro3459117[[#This Row],[JULHO]]</f>
        <v>0</v>
      </c>
      <c r="J107" s="62">
        <f>Fluxo_de_Caixa_Janeiro345911710[[#This Row],[AGOSTO]]</f>
        <v>0</v>
      </c>
      <c r="K107" s="62">
        <f>Fluxo_de_Caixa_Janeiro34591171012[[#This Row],[SETEMBRO]]</f>
        <v>0</v>
      </c>
      <c r="L107" s="62">
        <f>Fluxo_de_Caixa_Janeiro3459117101215[[#This Row],[OUTUBRO]]</f>
        <v>0</v>
      </c>
      <c r="M107" s="62">
        <f>Fluxo_de_Caixa_Janeiro345911710121516[[#This Row],[NOVEMBRO]]</f>
        <v>0</v>
      </c>
      <c r="N107" s="119">
        <f>Fluxo_de_Caixa_Janeiro34591171012151619[[#This Row],[DEZEMBRO]]</f>
        <v>0</v>
      </c>
      <c r="O107" s="224">
        <f>SUM(Fluxo_de_Caixa_Janeiro31020818[[#This Row],[Janeiro]:[Dezembro]])</f>
        <v>3123.96</v>
      </c>
      <c r="P107" s="194">
        <f t="shared" si="7"/>
        <v>6.7407433207775384E-4</v>
      </c>
      <c r="Q107" s="194"/>
      <c r="R107" s="32" t="str">
        <f>IF(Fluxo_de_Caixa_Janeiro31020818[[#This Row],[% ACUMULADO  ANO 2026]]&lt;=Fluxo_de_Caixa_Janeiro31020818[[#This Row],[Coluna1]],"VERDADEIRO","FALSO")</f>
        <v>FALSO</v>
      </c>
    </row>
    <row r="108" spans="1:20" x14ac:dyDescent="0.25">
      <c r="B108" s="55" t="str">
        <f>Fluxo_de_Caixa_Janeiro[[#This Row],[Fluxo de Caixa 2026 CTR]]</f>
        <v>3.2.08. Treinamento e Cursos</v>
      </c>
      <c r="C108" s="35">
        <f>Fluxo_de_Caixa_Janeiro[[#This Row],[Janeiro]]</f>
        <v>1536</v>
      </c>
      <c r="D108" s="62">
        <f>Fluxo_de_Caixa_Janeiro3[[#This Row],[Fevereiro]]</f>
        <v>0</v>
      </c>
      <c r="E108" s="62">
        <f>Fluxo_de_Caixa_Janeiro34[[#This Row],[Março]]</f>
        <v>6500</v>
      </c>
      <c r="F108" s="62">
        <f>Fluxo_de_Caixa_Janeiro345[[#This Row],[ABRIL]]</f>
        <v>5060</v>
      </c>
      <c r="G108" s="62">
        <f>Fluxo_de_Caixa_Janeiro3459[[#This Row],[MAIO]]</f>
        <v>3610</v>
      </c>
      <c r="H108" s="62">
        <f>Fluxo_de_Caixa_Janeiro345911[[#This Row],[JUNHO]]</f>
        <v>0</v>
      </c>
      <c r="I108" s="35">
        <f>Fluxo_de_Caixa_Janeiro3459117[[#This Row],[JULHO]]</f>
        <v>0</v>
      </c>
      <c r="J108" s="62">
        <f>Fluxo_de_Caixa_Janeiro345911710[[#This Row],[AGOSTO]]</f>
        <v>0</v>
      </c>
      <c r="K108" s="62">
        <f>Fluxo_de_Caixa_Janeiro34591171012[[#This Row],[SETEMBRO]]</f>
        <v>0</v>
      </c>
      <c r="L108" s="62">
        <f>Fluxo_de_Caixa_Janeiro3459117101215[[#This Row],[OUTUBRO]]</f>
        <v>0</v>
      </c>
      <c r="M108" s="62">
        <f>Fluxo_de_Caixa_Janeiro345911710121516[[#This Row],[NOVEMBRO]]</f>
        <v>0</v>
      </c>
      <c r="N108" s="119">
        <f>Fluxo_de_Caixa_Janeiro34591171012151619[[#This Row],[DEZEMBRO]]</f>
        <v>0</v>
      </c>
      <c r="O108" s="224">
        <f>SUM(Fluxo_de_Caixa_Janeiro31020818[[#This Row],[Janeiro]:[Dezembro]])</f>
        <v>16706</v>
      </c>
      <c r="P108" s="194">
        <f t="shared" si="7"/>
        <v>3.6047471131803724E-3</v>
      </c>
      <c r="Q108" s="194"/>
      <c r="R108" s="32" t="str">
        <f>IF(Fluxo_de_Caixa_Janeiro31020818[[#This Row],[% ACUMULADO  ANO 2026]]&lt;=Fluxo_de_Caixa_Janeiro31020818[[#This Row],[Coluna1]],"VERDADEIRO","FALSO")</f>
        <v>FALSO</v>
      </c>
    </row>
    <row r="109" spans="1:20" x14ac:dyDescent="0.25">
      <c r="B109" s="55" t="str">
        <f>Fluxo_de_Caixa_Janeiro[[#This Row],[Fluxo de Caixa 2026 CTR]]</f>
        <v>3.2.09. Ajuda de Custo Faculdade/Pós Graduação</v>
      </c>
      <c r="C109" s="35">
        <f>Fluxo_de_Caixa_Janeiro[[#This Row],[Janeiro]]</f>
        <v>0</v>
      </c>
      <c r="D109" s="62">
        <f>Fluxo_de_Caixa_Janeiro3[[#This Row],[Fevereiro]]</f>
        <v>0</v>
      </c>
      <c r="E109" s="62">
        <f>Fluxo_de_Caixa_Janeiro34[[#This Row],[Março]]</f>
        <v>0</v>
      </c>
      <c r="F109" s="62">
        <f>Fluxo_de_Caixa_Janeiro345[[#This Row],[ABRIL]]</f>
        <v>0</v>
      </c>
      <c r="G109" s="62">
        <f>Fluxo_de_Caixa_Janeiro3459[[#This Row],[MAIO]]</f>
        <v>0</v>
      </c>
      <c r="H109" s="62">
        <f>Fluxo_de_Caixa_Janeiro345911[[#This Row],[JUNHO]]</f>
        <v>0</v>
      </c>
      <c r="I109" s="35">
        <f>Fluxo_de_Caixa_Janeiro3459117[[#This Row],[JULHO]]</f>
        <v>0</v>
      </c>
      <c r="J109" s="62">
        <f>Fluxo_de_Caixa_Janeiro345911710[[#This Row],[AGOSTO]]</f>
        <v>0</v>
      </c>
      <c r="K109" s="62">
        <f>Fluxo_de_Caixa_Janeiro34591171012[[#This Row],[SETEMBRO]]</f>
        <v>0</v>
      </c>
      <c r="L109" s="62">
        <f>Fluxo_de_Caixa_Janeiro3459117101215[[#This Row],[OUTUBRO]]</f>
        <v>0</v>
      </c>
      <c r="M109" s="62">
        <f>Fluxo_de_Caixa_Janeiro345911710121516[[#This Row],[NOVEMBRO]]</f>
        <v>0</v>
      </c>
      <c r="N109" s="119">
        <f>Fluxo_de_Caixa_Janeiro34591171012151619[[#This Row],[DEZEMBRO]]</f>
        <v>0</v>
      </c>
      <c r="O109" s="224">
        <f>SUM(Fluxo_de_Caixa_Janeiro31020818[[#This Row],[Janeiro]:[Dezembro]])</f>
        <v>0</v>
      </c>
      <c r="P109" s="194">
        <f t="shared" si="7"/>
        <v>0</v>
      </c>
      <c r="Q109" s="194"/>
      <c r="R109" s="32" t="str">
        <f>IF(Fluxo_de_Caixa_Janeiro31020818[[#This Row],[% ACUMULADO  ANO 2026]]&lt;=Fluxo_de_Caixa_Janeiro31020818[[#This Row],[Coluna1]],"VERDADEIRO","FALSO")</f>
        <v>VERDADEIRO</v>
      </c>
    </row>
    <row r="110" spans="1:20" x14ac:dyDescent="0.25">
      <c r="B110" s="55" t="str">
        <f>Fluxo_de_Caixa_Janeiro[[#This Row],[Fluxo de Caixa 2026 CTR]]</f>
        <v>3.2.10. Férias</v>
      </c>
      <c r="C110" s="35">
        <f>Fluxo_de_Caixa_Janeiro[[#This Row],[Janeiro]]</f>
        <v>0</v>
      </c>
      <c r="D110" s="62">
        <f>Fluxo_de_Caixa_Janeiro3[[#This Row],[Fevereiro]]</f>
        <v>0</v>
      </c>
      <c r="E110" s="62">
        <f>Fluxo_de_Caixa_Janeiro34[[#This Row],[Março]]</f>
        <v>0</v>
      </c>
      <c r="F110" s="62">
        <f>Fluxo_de_Caixa_Janeiro345[[#This Row],[ABRIL]]</f>
        <v>0</v>
      </c>
      <c r="G110" s="62">
        <f>Fluxo_de_Caixa_Janeiro3459[[#This Row],[MAIO]]</f>
        <v>0</v>
      </c>
      <c r="H110" s="62">
        <f>Fluxo_de_Caixa_Janeiro345911[[#This Row],[JUNHO]]</f>
        <v>0</v>
      </c>
      <c r="I110" s="35">
        <f>Fluxo_de_Caixa_Janeiro3459117[[#This Row],[JULHO]]</f>
        <v>0</v>
      </c>
      <c r="J110" s="62">
        <f>Fluxo_de_Caixa_Janeiro345911710[[#This Row],[AGOSTO]]</f>
        <v>0</v>
      </c>
      <c r="K110" s="62">
        <f>Fluxo_de_Caixa_Janeiro34591171012[[#This Row],[SETEMBRO]]</f>
        <v>0</v>
      </c>
      <c r="L110" s="62">
        <f>Fluxo_de_Caixa_Janeiro3459117101215[[#This Row],[OUTUBRO]]</f>
        <v>0</v>
      </c>
      <c r="M110" s="62">
        <f>Fluxo_de_Caixa_Janeiro345911710121516[[#This Row],[NOVEMBRO]]</f>
        <v>0</v>
      </c>
      <c r="N110" s="119">
        <f>Fluxo_de_Caixa_Janeiro34591171012151619[[#This Row],[DEZEMBRO]]</f>
        <v>0</v>
      </c>
      <c r="O110" s="224">
        <f>SUM(Fluxo_de_Caixa_Janeiro31020818[[#This Row],[Janeiro]:[Dezembro]])</f>
        <v>0</v>
      </c>
      <c r="P110" s="194">
        <f t="shared" si="7"/>
        <v>0</v>
      </c>
      <c r="Q110" s="194"/>
      <c r="R110" s="32" t="str">
        <f>IF(Fluxo_de_Caixa_Janeiro31020818[[#This Row],[% ACUMULADO  ANO 2026]]&lt;=Fluxo_de_Caixa_Janeiro31020818[[#This Row],[Coluna1]],"VERDADEIRO","FALSO")</f>
        <v>VERDADEIRO</v>
      </c>
    </row>
    <row r="111" spans="1:20" x14ac:dyDescent="0.25">
      <c r="B111" s="55" t="str">
        <f>Fluxo_de_Caixa_Janeiro[[#This Row],[Fluxo de Caixa 2026 CTR]]</f>
        <v>3.2.11. Auxilio Saúde e Odontológico</v>
      </c>
      <c r="C111" s="35">
        <f>Fluxo_de_Caixa_Janeiro[[#This Row],[Janeiro]]</f>
        <v>2500</v>
      </c>
      <c r="D111" s="62">
        <f>Fluxo_de_Caixa_Janeiro3[[#This Row],[Fevereiro]]</f>
        <v>0</v>
      </c>
      <c r="E111" s="62">
        <f>Fluxo_de_Caixa_Janeiro34[[#This Row],[Março]]</f>
        <v>0</v>
      </c>
      <c r="F111" s="62">
        <f>Fluxo_de_Caixa_Janeiro345[[#This Row],[ABRIL]]</f>
        <v>0</v>
      </c>
      <c r="G111" s="62">
        <f>Fluxo_de_Caixa_Janeiro3459[[#This Row],[MAIO]]</f>
        <v>45.15</v>
      </c>
      <c r="H111" s="62">
        <f>Fluxo_de_Caixa_Janeiro345911[[#This Row],[JUNHO]]</f>
        <v>0</v>
      </c>
      <c r="I111" s="35">
        <f>Fluxo_de_Caixa_Janeiro3459117[[#This Row],[JULHO]]</f>
        <v>0</v>
      </c>
      <c r="J111" s="62">
        <f>Fluxo_de_Caixa_Janeiro345911710[[#This Row],[AGOSTO]]</f>
        <v>0</v>
      </c>
      <c r="K111" s="62">
        <f>Fluxo_de_Caixa_Janeiro34591171012[[#This Row],[SETEMBRO]]</f>
        <v>0</v>
      </c>
      <c r="L111" s="62">
        <f>Fluxo_de_Caixa_Janeiro3459117101215[[#This Row],[OUTUBRO]]</f>
        <v>0</v>
      </c>
      <c r="M111" s="62">
        <f>Fluxo_de_Caixa_Janeiro345911710121516[[#This Row],[NOVEMBRO]]</f>
        <v>0</v>
      </c>
      <c r="N111" s="119">
        <f>Fluxo_de_Caixa_Janeiro34591171012151619[[#This Row],[DEZEMBRO]]</f>
        <v>0</v>
      </c>
      <c r="O111" s="224">
        <f>SUM(Fluxo_de_Caixa_Janeiro31020818[[#This Row],[Janeiro]:[Dezembro]])</f>
        <v>2545.15</v>
      </c>
      <c r="P111" s="194">
        <f t="shared" si="7"/>
        <v>5.4918125913510263E-4</v>
      </c>
      <c r="Q111" s="194"/>
      <c r="R111" s="32" t="str">
        <f>IF(Fluxo_de_Caixa_Janeiro31020818[[#This Row],[% ACUMULADO  ANO 2026]]&lt;=Fluxo_de_Caixa_Janeiro31020818[[#This Row],[Coluna1]],"VERDADEIRO","FALSO")</f>
        <v>FALSO</v>
      </c>
    </row>
    <row r="112" spans="1:20" x14ac:dyDescent="0.25">
      <c r="B112" s="55" t="str">
        <f>Fluxo_de_Caixa_Janeiro[[#This Row],[Fluxo de Caixa 2026 CTR]]</f>
        <v>3.2.12. Vale Transporte</v>
      </c>
      <c r="C112" s="35">
        <f>Fluxo_de_Caixa_Janeiro[[#This Row],[Janeiro]]</f>
        <v>350</v>
      </c>
      <c r="D112" s="62">
        <f>Fluxo_de_Caixa_Janeiro3[[#This Row],[Fevereiro]]</f>
        <v>400</v>
      </c>
      <c r="E112" s="62">
        <f>Fluxo_de_Caixa_Janeiro34[[#This Row],[Março]]</f>
        <v>400</v>
      </c>
      <c r="F112" s="62">
        <f>Fluxo_de_Caixa_Janeiro345[[#This Row],[ABRIL]]</f>
        <v>0</v>
      </c>
      <c r="G112" s="62">
        <f>Fluxo_de_Caixa_Janeiro3459[[#This Row],[MAIO]]</f>
        <v>0</v>
      </c>
      <c r="H112" s="62">
        <f>Fluxo_de_Caixa_Janeiro345911[[#This Row],[JUNHO]]</f>
        <v>0</v>
      </c>
      <c r="I112" s="35">
        <f>Fluxo_de_Caixa_Janeiro3459117[[#This Row],[JULHO]]</f>
        <v>0</v>
      </c>
      <c r="J112" s="62">
        <f>Fluxo_de_Caixa_Janeiro345911710[[#This Row],[AGOSTO]]</f>
        <v>0</v>
      </c>
      <c r="K112" s="62">
        <f>Fluxo_de_Caixa_Janeiro34591171012[[#This Row],[SETEMBRO]]</f>
        <v>0</v>
      </c>
      <c r="L112" s="62">
        <f>Fluxo_de_Caixa_Janeiro3459117101215[[#This Row],[OUTUBRO]]</f>
        <v>0</v>
      </c>
      <c r="M112" s="62">
        <f>Fluxo_de_Caixa_Janeiro345911710121516[[#This Row],[NOVEMBRO]]</f>
        <v>0</v>
      </c>
      <c r="N112" s="119">
        <f>Fluxo_de_Caixa_Janeiro34591171012151619[[#This Row],[DEZEMBRO]]</f>
        <v>0</v>
      </c>
      <c r="O112" s="224">
        <f>SUM(Fluxo_de_Caixa_Janeiro31020818[[#This Row],[Janeiro]:[Dezembro]])</f>
        <v>1150</v>
      </c>
      <c r="P112" s="194">
        <f t="shared" si="7"/>
        <v>2.4814193584086125E-4</v>
      </c>
      <c r="Q112" s="194"/>
      <c r="R112" s="32" t="str">
        <f>IF(Fluxo_de_Caixa_Janeiro31020818[[#This Row],[% ACUMULADO  ANO 2026]]&lt;=Fluxo_de_Caixa_Janeiro31020818[[#This Row],[Coluna1]],"VERDADEIRO","FALSO")</f>
        <v>FALSO</v>
      </c>
    </row>
    <row r="113" spans="2:19" x14ac:dyDescent="0.25">
      <c r="B113" s="55" t="str">
        <f>Fluxo_de_Caixa_Janeiro[[#This Row],[Fluxo de Caixa 2026 CTR]]</f>
        <v>3.2.13. FGTS</v>
      </c>
      <c r="C113" s="35">
        <f>Fluxo_de_Caixa_Janeiro[[#This Row],[Janeiro]]</f>
        <v>2161</v>
      </c>
      <c r="D113" s="62">
        <f>Fluxo_de_Caixa_Janeiro3[[#This Row],[Fevereiro]]</f>
        <v>4123.54</v>
      </c>
      <c r="E113" s="62">
        <f>Fluxo_de_Caixa_Janeiro34[[#This Row],[Março]]</f>
        <v>3924.18</v>
      </c>
      <c r="F113" s="62">
        <f>Fluxo_de_Caixa_Janeiro345[[#This Row],[ABRIL]]</f>
        <v>2588.12</v>
      </c>
      <c r="G113" s="62">
        <f>Fluxo_de_Caixa_Janeiro3459[[#This Row],[MAIO]]</f>
        <v>2865.4</v>
      </c>
      <c r="H113" s="62">
        <f>Fluxo_de_Caixa_Janeiro345911[[#This Row],[JUNHO]]</f>
        <v>0</v>
      </c>
      <c r="I113" s="35">
        <f>Fluxo_de_Caixa_Janeiro3459117[[#This Row],[JULHO]]</f>
        <v>0</v>
      </c>
      <c r="J113" s="62">
        <f>Fluxo_de_Caixa_Janeiro345911710[[#This Row],[AGOSTO]]</f>
        <v>0</v>
      </c>
      <c r="K113" s="62">
        <f>Fluxo_de_Caixa_Janeiro34591171012[[#This Row],[SETEMBRO]]</f>
        <v>0</v>
      </c>
      <c r="L113" s="62">
        <f>Fluxo_de_Caixa_Janeiro3459117101215[[#This Row],[OUTUBRO]]</f>
        <v>0</v>
      </c>
      <c r="M113" s="62">
        <f>Fluxo_de_Caixa_Janeiro345911710121516[[#This Row],[NOVEMBRO]]</f>
        <v>0</v>
      </c>
      <c r="N113" s="119">
        <f>Fluxo_de_Caixa_Janeiro34591171012151619[[#This Row],[DEZEMBRO]]</f>
        <v>0</v>
      </c>
      <c r="O113" s="224">
        <f>SUM(Fluxo_de_Caixa_Janeiro31020818[[#This Row],[Janeiro]:[Dezembro]])</f>
        <v>15662.24</v>
      </c>
      <c r="P113" s="194">
        <f t="shared" si="7"/>
        <v>3.3795291766992789E-3</v>
      </c>
      <c r="Q113" s="194"/>
      <c r="R113" s="32" t="str">
        <f>IF(Fluxo_de_Caixa_Janeiro31020818[[#This Row],[% ACUMULADO  ANO 2026]]&lt;=Fluxo_de_Caixa_Janeiro31020818[[#This Row],[Coluna1]],"VERDADEIRO","FALSO")</f>
        <v>FALSO</v>
      </c>
    </row>
    <row r="114" spans="2:19" x14ac:dyDescent="0.25">
      <c r="B114" s="169" t="str">
        <f>Fluxo_de_Caixa_Janeiro[[#This Row],[Fluxo de Caixa 2026 CTR]]</f>
        <v xml:space="preserve">3.2.14. INSS/GPS </v>
      </c>
      <c r="C114" s="41">
        <f>Fluxo_de_Caixa_Janeiro[[#This Row],[Janeiro]]</f>
        <v>11529.3</v>
      </c>
      <c r="D114" s="81">
        <f>Fluxo_de_Caixa_Janeiro3[[#This Row],[Fevereiro]]</f>
        <v>11912.77</v>
      </c>
      <c r="E114" s="81">
        <f>Fluxo_de_Caixa_Janeiro34[[#This Row],[Março]]</f>
        <v>11292.06</v>
      </c>
      <c r="F114" s="81">
        <f>Fluxo_de_Caixa_Janeiro345[[#This Row],[ABRIL]]</f>
        <v>13320.75</v>
      </c>
      <c r="G114" s="81">
        <f>Fluxo_de_Caixa_Janeiro3459[[#This Row],[MAIO]]</f>
        <v>8759.4500000000007</v>
      </c>
      <c r="H114" s="81">
        <f>Fluxo_de_Caixa_Janeiro345911[[#This Row],[JUNHO]]</f>
        <v>0</v>
      </c>
      <c r="I114" s="613">
        <f>Fluxo_de_Caixa_Janeiro3459117[[#This Row],[JULHO]]</f>
        <v>0</v>
      </c>
      <c r="J114" s="614">
        <f>Fluxo_de_Caixa_Janeiro345911710[[#This Row],[AGOSTO]]</f>
        <v>0</v>
      </c>
      <c r="K114" s="614">
        <f>Fluxo_de_Caixa_Janeiro34591171012[[#This Row],[SETEMBRO]]</f>
        <v>0</v>
      </c>
      <c r="L114" s="614">
        <f>Fluxo_de_Caixa_Janeiro3459117101215[[#This Row],[OUTUBRO]]</f>
        <v>0</v>
      </c>
      <c r="M114" s="614">
        <f>Fluxo_de_Caixa_Janeiro345911710121516[[#This Row],[NOVEMBRO]]</f>
        <v>0</v>
      </c>
      <c r="N114" s="615">
        <f>Fluxo_de_Caixa_Janeiro34591171012151619[[#This Row],[DEZEMBRO]]</f>
        <v>0</v>
      </c>
      <c r="O114" s="223">
        <f>SUM(Fluxo_de_Caixa_Janeiro31020818[[#This Row],[Janeiro]:[Dezembro]])</f>
        <v>56814.33</v>
      </c>
      <c r="P114" s="193">
        <f t="shared" si="7"/>
        <v>1.2259145938870886E-2</v>
      </c>
      <c r="Q114" s="193"/>
      <c r="R114" s="32" t="str">
        <f>IF(Fluxo_de_Caixa_Janeiro31020818[[#This Row],[% ACUMULADO  ANO 2026]]&lt;=Fluxo_de_Caixa_Janeiro31020818[[#This Row],[Coluna1]],"VERDADEIRO","FALSO")</f>
        <v>FALSO</v>
      </c>
    </row>
    <row r="115" spans="2:19" x14ac:dyDescent="0.25">
      <c r="B115" s="55" t="str">
        <f>Fluxo_de_Caixa_Janeiro[[#This Row],[Fluxo de Caixa 2026 CTR]]</f>
        <v>3.2.15. Contribuição Sindical</v>
      </c>
      <c r="C115" s="35">
        <f>Fluxo_de_Caixa_Janeiro[[#This Row],[Janeiro]]</f>
        <v>88</v>
      </c>
      <c r="D115" s="62">
        <f>Fluxo_de_Caixa_Janeiro3[[#This Row],[Fevereiro]]</f>
        <v>220</v>
      </c>
      <c r="E115" s="62">
        <f>Fluxo_de_Caixa_Janeiro34[[#This Row],[Março]]</f>
        <v>220</v>
      </c>
      <c r="F115" s="62">
        <f>Fluxo_de_Caixa_Janeiro345[[#This Row],[ABRIL]]</f>
        <v>176</v>
      </c>
      <c r="G115" s="62">
        <f>Fluxo_de_Caixa_Janeiro3459[[#This Row],[MAIO]]</f>
        <v>308</v>
      </c>
      <c r="H115" s="62">
        <f>Fluxo_de_Caixa_Janeiro345911[[#This Row],[JUNHO]]</f>
        <v>0</v>
      </c>
      <c r="I115" s="35">
        <f>Fluxo_de_Caixa_Janeiro3459117[[#This Row],[JULHO]]</f>
        <v>0</v>
      </c>
      <c r="J115" s="62">
        <f>Fluxo_de_Caixa_Janeiro345911710[[#This Row],[AGOSTO]]</f>
        <v>0</v>
      </c>
      <c r="K115" s="62">
        <f>Fluxo_de_Caixa_Janeiro34591171012[[#This Row],[SETEMBRO]]</f>
        <v>0</v>
      </c>
      <c r="L115" s="62">
        <f>Fluxo_de_Caixa_Janeiro3459117101215[[#This Row],[OUTUBRO]]</f>
        <v>0</v>
      </c>
      <c r="M115" s="62">
        <f>Fluxo_de_Caixa_Janeiro345911710121516[[#This Row],[NOVEMBRO]]</f>
        <v>0</v>
      </c>
      <c r="N115" s="119">
        <f>Fluxo_de_Caixa_Janeiro34591171012151619[[#This Row],[DEZEMBRO]]</f>
        <v>0</v>
      </c>
      <c r="O115" s="224">
        <f>SUM(Fluxo_de_Caixa_Janeiro31020818[[#This Row],[Janeiro]:[Dezembro]])</f>
        <v>1012</v>
      </c>
      <c r="P115" s="194">
        <f t="shared" si="7"/>
        <v>2.1836490353995791E-4</v>
      </c>
      <c r="Q115" s="194"/>
      <c r="R115" s="32" t="str">
        <f>IF(Fluxo_de_Caixa_Janeiro31020818[[#This Row],[% ACUMULADO  ANO 2026]]&lt;=Fluxo_de_Caixa_Janeiro31020818[[#This Row],[Coluna1]],"VERDADEIRO","FALSO")</f>
        <v>FALSO</v>
      </c>
    </row>
    <row r="116" spans="2:19" x14ac:dyDescent="0.25">
      <c r="B116" s="55" t="str">
        <f>Fluxo_de_Caixa_Janeiro[[#This Row],[Fluxo de Caixa 2026 CTR]]</f>
        <v xml:space="preserve">3.2.16. Rescisão Trabalhista </v>
      </c>
      <c r="C116" s="35">
        <f>Fluxo_de_Caixa_Janeiro[[#This Row],[Janeiro]]</f>
        <v>0</v>
      </c>
      <c r="D116" s="62">
        <f>Fluxo_de_Caixa_Janeiro3[[#This Row],[Fevereiro]]</f>
        <v>0</v>
      </c>
      <c r="E116" s="62">
        <f>Fluxo_de_Caixa_Janeiro34[[#This Row],[Março]]</f>
        <v>22337.95</v>
      </c>
      <c r="F116" s="62">
        <f>Fluxo_de_Caixa_Janeiro345[[#This Row],[ABRIL]]</f>
        <v>0</v>
      </c>
      <c r="G116" s="62">
        <f>Fluxo_de_Caixa_Janeiro3459[[#This Row],[MAIO]]</f>
        <v>0</v>
      </c>
      <c r="H116" s="62">
        <f>Fluxo_de_Caixa_Janeiro345911[[#This Row],[JUNHO]]</f>
        <v>0</v>
      </c>
      <c r="I116" s="35">
        <f>Fluxo_de_Caixa_Janeiro3459117[[#This Row],[JULHO]]</f>
        <v>0</v>
      </c>
      <c r="J116" s="62">
        <f>Fluxo_de_Caixa_Janeiro345911710[[#This Row],[AGOSTO]]</f>
        <v>0</v>
      </c>
      <c r="K116" s="62">
        <f>Fluxo_de_Caixa_Janeiro34591171012[[#This Row],[SETEMBRO]]</f>
        <v>0</v>
      </c>
      <c r="L116" s="406">
        <f>Fluxo_de_Caixa_Janeiro3459117101215[[#This Row],[OUTUBRO]]</f>
        <v>0</v>
      </c>
      <c r="M116" s="62">
        <f>Fluxo_de_Caixa_Janeiro345911710121516[[#This Row],[NOVEMBRO]]</f>
        <v>0</v>
      </c>
      <c r="N116" s="119">
        <f>Fluxo_de_Caixa_Janeiro34591171012151619[[#This Row],[DEZEMBRO]]</f>
        <v>0</v>
      </c>
      <c r="O116" s="224">
        <f>SUM(Fluxo_de_Caixa_Janeiro31020818[[#This Row],[Janeiro]:[Dezembro]])</f>
        <v>22337.95</v>
      </c>
      <c r="P116" s="194">
        <f t="shared" si="7"/>
        <v>4.8199844832316234E-3</v>
      </c>
      <c r="Q116" s="194"/>
      <c r="R116" s="32" t="str">
        <f>IF(Fluxo_de_Caixa_Janeiro31020818[[#This Row],[% ACUMULADO  ANO 2026]]&lt;=Fluxo_de_Caixa_Janeiro31020818[[#This Row],[Coluna1]],"VERDADEIRO","FALSO")</f>
        <v>FALSO</v>
      </c>
      <c r="S116" s="287">
        <v>-100145.1</v>
      </c>
    </row>
    <row r="117" spans="2:19" x14ac:dyDescent="0.25">
      <c r="B117" s="541" t="str">
        <f>Fluxo_de_Caixa_Janeiro[[#This Row],[Fluxo de Caixa 2026 CTR]]</f>
        <v xml:space="preserve">3.2.17. Seleção e Contratação </v>
      </c>
      <c r="C117" s="35">
        <f>Fluxo_de_Caixa_Janeiro[[#This Row],[Janeiro]]</f>
        <v>0</v>
      </c>
      <c r="D117" s="62">
        <f>Fluxo_de_Caixa_Janeiro3[[#This Row],[Fevereiro]]</f>
        <v>2070</v>
      </c>
      <c r="E117" s="62">
        <f>Fluxo_de_Caixa_Janeiro34[[#This Row],[Março]]</f>
        <v>920</v>
      </c>
      <c r="F117" s="62">
        <f>Fluxo_de_Caixa_Janeiro345[[#This Row],[ABRIL]]</f>
        <v>0</v>
      </c>
      <c r="G117" s="62">
        <f>Fluxo_de_Caixa_Janeiro3459[[#This Row],[MAIO]]</f>
        <v>0</v>
      </c>
      <c r="H117" s="62">
        <f>Fluxo_de_Caixa_Janeiro345911[[#This Row],[JUNHO]]</f>
        <v>0</v>
      </c>
      <c r="I117" s="35">
        <f>Fluxo_de_Caixa_Janeiro3459117[[#This Row],[JULHO]]</f>
        <v>0</v>
      </c>
      <c r="J117" s="62">
        <f>Fluxo_de_Caixa_Janeiro345911710[[#This Row],[AGOSTO]]</f>
        <v>0</v>
      </c>
      <c r="K117" s="62">
        <f>Fluxo_de_Caixa_Janeiro34591171012[[#This Row],[SETEMBRO]]</f>
        <v>0</v>
      </c>
      <c r="L117" s="62">
        <f>Fluxo_de_Caixa_Janeiro3459117101215[[#This Row],[OUTUBRO]]</f>
        <v>0</v>
      </c>
      <c r="M117" s="62">
        <f>Fluxo_de_Caixa_Janeiro345911710121516[[#This Row],[NOVEMBRO]]</f>
        <v>0</v>
      </c>
      <c r="N117" s="119">
        <f>Fluxo_de_Caixa_Janeiro34591171012151619[[#This Row],[DEZEMBRO]]</f>
        <v>0</v>
      </c>
      <c r="O117" s="224">
        <f>SUM(Fluxo_de_Caixa_Janeiro31020818[[#This Row],[Janeiro]:[Dezembro]])</f>
        <v>2990</v>
      </c>
      <c r="P117" s="194">
        <f t="shared" si="7"/>
        <v>6.4516903318623925E-4</v>
      </c>
      <c r="Q117" s="194"/>
      <c r="R117" s="32" t="str">
        <f>IF(Fluxo_de_Caixa_Janeiro31020818[[#This Row],[% ACUMULADO  ANO 2026]]&lt;=Fluxo_de_Caixa_Janeiro31020818[[#This Row],[Coluna1]],"VERDADEIRO","FALSO")</f>
        <v>FALSO</v>
      </c>
    </row>
    <row r="118" spans="2:19" x14ac:dyDescent="0.25">
      <c r="B118" s="55" t="str">
        <f>Fluxo_de_Caixa_Janeiro[[#This Row],[Fluxo de Caixa 2026 CTR]]</f>
        <v>3.2.18. ASO</v>
      </c>
      <c r="C118" s="35">
        <f>Fluxo_de_Caixa_Janeiro[[#This Row],[Janeiro]]</f>
        <v>0</v>
      </c>
      <c r="D118" s="62">
        <f>Fluxo_de_Caixa_Janeiro3[[#This Row],[Fevereiro]]</f>
        <v>245</v>
      </c>
      <c r="E118" s="62">
        <f>Fluxo_de_Caixa_Janeiro34[[#This Row],[Março]]</f>
        <v>290</v>
      </c>
      <c r="F118" s="62">
        <f>Fluxo_de_Caixa_Janeiro345[[#This Row],[ABRIL]]</f>
        <v>2186</v>
      </c>
      <c r="G118" s="62">
        <f>Fluxo_de_Caixa_Janeiro3459[[#This Row],[MAIO]]</f>
        <v>390</v>
      </c>
      <c r="H118" s="62">
        <f>Fluxo_de_Caixa_Janeiro345911[[#This Row],[JUNHO]]</f>
        <v>0</v>
      </c>
      <c r="I118" s="35">
        <f>Fluxo_de_Caixa_Janeiro3459117[[#This Row],[JULHO]]</f>
        <v>0</v>
      </c>
      <c r="J118" s="62">
        <f>Fluxo_de_Caixa_Janeiro345911710[[#This Row],[AGOSTO]]</f>
        <v>0</v>
      </c>
      <c r="K118" s="62">
        <f>Fluxo_de_Caixa_Janeiro34591171012[[#This Row],[SETEMBRO]]</f>
        <v>0</v>
      </c>
      <c r="L118" s="62">
        <f>Fluxo_de_Caixa_Janeiro3459117101215[[#This Row],[OUTUBRO]]</f>
        <v>0</v>
      </c>
      <c r="M118" s="62">
        <f>Fluxo_de_Caixa_Janeiro345911710121516[[#This Row],[NOVEMBRO]]</f>
        <v>0</v>
      </c>
      <c r="N118" s="119">
        <f>Fluxo_de_Caixa_Janeiro34591171012151619[[#This Row],[DEZEMBRO]]</f>
        <v>0</v>
      </c>
      <c r="O118" s="224">
        <f>SUM(Fluxo_de_Caixa_Janeiro31020818[[#This Row],[Janeiro]:[Dezembro]])</f>
        <v>3111</v>
      </c>
      <c r="P118" s="194">
        <f t="shared" si="7"/>
        <v>6.7127788034862556E-4</v>
      </c>
      <c r="Q118" s="194"/>
      <c r="R118" s="32" t="str">
        <f>IF(Fluxo_de_Caixa_Janeiro31020818[[#This Row],[% ACUMULADO  ANO 2026]]&lt;=Fluxo_de_Caixa_Janeiro31020818[[#This Row],[Coluna1]],"VERDADEIRO","FALSO")</f>
        <v>FALSO</v>
      </c>
      <c r="S118" s="287"/>
    </row>
    <row r="119" spans="2:19" x14ac:dyDescent="0.25">
      <c r="B119" s="55" t="str">
        <f>Fluxo_de_Caixa_Janeiro[[#This Row],[Fluxo de Caixa 2026 CTR]]</f>
        <v>3.2.19. IRRF S/ Salário</v>
      </c>
      <c r="C119" s="35">
        <f>Fluxo_de_Caixa_Janeiro[[#This Row],[Janeiro]]</f>
        <v>0</v>
      </c>
      <c r="D119" s="62">
        <f>Fluxo_de_Caixa_Janeiro3[[#This Row],[Fevereiro]]</f>
        <v>0</v>
      </c>
      <c r="E119" s="62">
        <f>Fluxo_de_Caixa_Janeiro34[[#This Row],[Março]]</f>
        <v>0</v>
      </c>
      <c r="F119" s="62">
        <f>Fluxo_de_Caixa_Janeiro345[[#This Row],[ABRIL]]</f>
        <v>0</v>
      </c>
      <c r="G119" s="62">
        <f>Fluxo_de_Caixa_Janeiro3459[[#This Row],[MAIO]]</f>
        <v>0</v>
      </c>
      <c r="H119" s="62">
        <f>Fluxo_de_Caixa_Janeiro345911[[#This Row],[JUNHO]]</f>
        <v>0</v>
      </c>
      <c r="I119" s="35">
        <f>Fluxo_de_Caixa_Janeiro3459117[[#This Row],[JULHO]]</f>
        <v>0</v>
      </c>
      <c r="J119" s="62">
        <f>Fluxo_de_Caixa_Janeiro345911710[[#This Row],[AGOSTO]]</f>
        <v>0</v>
      </c>
      <c r="K119" s="62">
        <f>Fluxo_de_Caixa_Janeiro34591171012[[#This Row],[SETEMBRO]]</f>
        <v>0</v>
      </c>
      <c r="L119" s="62">
        <f>Fluxo_de_Caixa_Janeiro3459117101215[[#This Row],[OUTUBRO]]</f>
        <v>0</v>
      </c>
      <c r="M119" s="62">
        <f>Fluxo_de_Caixa_Janeiro345911710121516[[#This Row],[NOVEMBRO]]</f>
        <v>0</v>
      </c>
      <c r="N119" s="119">
        <f>Fluxo_de_Caixa_Janeiro34591171012151619[[#This Row],[DEZEMBRO]]</f>
        <v>0</v>
      </c>
      <c r="O119" s="224">
        <f>SUM(Fluxo_de_Caixa_Janeiro31020818[[#This Row],[Janeiro]:[Dezembro]])</f>
        <v>0</v>
      </c>
      <c r="P119" s="194">
        <f t="shared" si="7"/>
        <v>0</v>
      </c>
      <c r="Q119" s="194"/>
      <c r="R119" s="32" t="str">
        <f>IF(Fluxo_de_Caixa_Janeiro31020818[[#This Row],[% ACUMULADO  ANO 2026]]&lt;=Fluxo_de_Caixa_Janeiro31020818[[#This Row],[Coluna1]],"VERDADEIRO","FALSO")</f>
        <v>VERDADEIRO</v>
      </c>
    </row>
    <row r="120" spans="2:19" x14ac:dyDescent="0.25">
      <c r="B120" s="55" t="str">
        <f>Fluxo_de_Caixa_Janeiro[[#This Row],[Fluxo de Caixa 2026 CTR]]</f>
        <v>3.2.20. Despesa com Terceirizado</v>
      </c>
      <c r="C120" s="35">
        <f>Fluxo_de_Caixa_Janeiro[[#This Row],[Janeiro]]</f>
        <v>9469</v>
      </c>
      <c r="D120" s="62">
        <f>Fluxo_de_Caixa_Janeiro3[[#This Row],[Fevereiro]]</f>
        <v>9695.5</v>
      </c>
      <c r="E120" s="62">
        <f>Fluxo_de_Caixa_Janeiro34[[#This Row],[Março]]</f>
        <v>11195.5</v>
      </c>
      <c r="F120" s="62">
        <f>Fluxo_de_Caixa_Janeiro345[[#This Row],[ABRIL]]</f>
        <v>10065.5</v>
      </c>
      <c r="G120" s="62">
        <f>Fluxo_de_Caixa_Janeiro3459[[#This Row],[MAIO]]</f>
        <v>9589</v>
      </c>
      <c r="H120" s="62">
        <f>Fluxo_de_Caixa_Janeiro345911[[#This Row],[JUNHO]]</f>
        <v>0</v>
      </c>
      <c r="I120" s="645">
        <f>Fluxo_de_Caixa_Janeiro3459117[[#This Row],[JULHO]]</f>
        <v>0</v>
      </c>
      <c r="J120" s="62">
        <f>Fluxo_de_Caixa_Janeiro345911710[[#This Row],[AGOSTO]]</f>
        <v>0</v>
      </c>
      <c r="K120" s="62">
        <f>Fluxo_de_Caixa_Janeiro34591171012[[#This Row],[SETEMBRO]]</f>
        <v>0</v>
      </c>
      <c r="L120" s="62">
        <f>Fluxo_de_Caixa_Janeiro3459117101215[[#This Row],[OUTUBRO]]</f>
        <v>0</v>
      </c>
      <c r="M120" s="62">
        <f>Fluxo_de_Caixa_Janeiro345911710121516[[#This Row],[NOVEMBRO]]</f>
        <v>0</v>
      </c>
      <c r="N120" s="119">
        <f>Fluxo_de_Caixa_Janeiro34591171012151619[[#This Row],[DEZEMBRO]]</f>
        <v>0</v>
      </c>
      <c r="O120" s="224">
        <f>SUM(Fluxo_de_Caixa_Janeiro31020818[[#This Row],[Janeiro]:[Dezembro]])</f>
        <v>50014.5</v>
      </c>
      <c r="P120" s="194">
        <f t="shared" si="7"/>
        <v>1.079190856531544E-2</v>
      </c>
      <c r="Q120" s="194"/>
      <c r="R120" s="32" t="str">
        <f>IF(Fluxo_de_Caixa_Janeiro31020818[[#This Row],[% ACUMULADO  ANO 2026]]&lt;=Fluxo_de_Caixa_Janeiro31020818[[#This Row],[Coluna1]],"VERDADEIRO","FALSO")</f>
        <v>FALSO</v>
      </c>
    </row>
    <row r="121" spans="2:19" x14ac:dyDescent="0.25">
      <c r="B121" s="55" t="str">
        <f>Fluxo_de_Caixa_Janeiro[[#This Row],[Fluxo de Caixa 2026 CTR]]</f>
        <v>3.2.21. Uniformes e EPI</v>
      </c>
      <c r="C121" s="35">
        <f>Fluxo_de_Caixa_Janeiro[[#This Row],[Janeiro]]</f>
        <v>0</v>
      </c>
      <c r="D121" s="62">
        <f>Fluxo_de_Caixa_Janeiro3[[#This Row],[Fevereiro]]</f>
        <v>0</v>
      </c>
      <c r="E121" s="62">
        <f>Fluxo_de_Caixa_Janeiro34[[#This Row],[Março]]</f>
        <v>1118</v>
      </c>
      <c r="F121" s="62">
        <f>Fluxo_de_Caixa_Janeiro345[[#This Row],[ABRIL]]</f>
        <v>630.76</v>
      </c>
      <c r="G121" s="62">
        <f>Fluxo_de_Caixa_Janeiro3459[[#This Row],[MAIO]]</f>
        <v>349.03</v>
      </c>
      <c r="H121" s="62">
        <f>Fluxo_de_Caixa_Janeiro345911[[#This Row],[JUNHO]]</f>
        <v>0</v>
      </c>
      <c r="I121" s="35">
        <f>Fluxo_de_Caixa_Janeiro3459117[[#This Row],[JULHO]]</f>
        <v>0</v>
      </c>
      <c r="J121" s="62">
        <f>Fluxo_de_Caixa_Janeiro345911710[[#This Row],[AGOSTO]]</f>
        <v>0</v>
      </c>
      <c r="K121" s="62">
        <f>Fluxo_de_Caixa_Janeiro34591171012[[#This Row],[SETEMBRO]]</f>
        <v>0</v>
      </c>
      <c r="L121" s="62">
        <f>Fluxo_de_Caixa_Janeiro3459117101215[[#This Row],[OUTUBRO]]</f>
        <v>0</v>
      </c>
      <c r="M121" s="62">
        <f>Fluxo_de_Caixa_Janeiro345911710121516[[#This Row],[NOVEMBRO]]</f>
        <v>0</v>
      </c>
      <c r="N121" s="119">
        <f>Fluxo_de_Caixa_Janeiro34591171012151619[[#This Row],[DEZEMBRO]]</f>
        <v>0</v>
      </c>
      <c r="O121" s="224">
        <f>SUM(Fluxo_de_Caixa_Janeiro31020818[[#This Row],[Janeiro]:[Dezembro]])</f>
        <v>2097.79</v>
      </c>
      <c r="P121" s="194">
        <f t="shared" si="7"/>
        <v>4.5265188833704378E-4</v>
      </c>
      <c r="Q121" s="194"/>
      <c r="R121" s="32" t="str">
        <f>IF(Fluxo_de_Caixa_Janeiro31020818[[#This Row],[% ACUMULADO  ANO 2026]]&lt;=Fluxo_de_Caixa_Janeiro31020818[[#This Row],[Coluna1]],"VERDADEIRO","FALSO")</f>
        <v>FALSO</v>
      </c>
    </row>
    <row r="122" spans="2:19" x14ac:dyDescent="0.25">
      <c r="B122" s="55" t="str">
        <f>Fluxo_de_Caixa_Janeiro[[#This Row],[Fluxo de Caixa 2026 CTR]]</f>
        <v>3.2.22. Adiantamento de 13º Salário</v>
      </c>
      <c r="C122" s="35">
        <f>Fluxo_de_Caixa_Janeiro[[#This Row],[Janeiro]]</f>
        <v>0</v>
      </c>
      <c r="D122" s="62">
        <f>Fluxo_de_Caixa_Janeiro3[[#This Row],[Fevereiro]]</f>
        <v>0</v>
      </c>
      <c r="E122" s="62">
        <f>Fluxo_de_Caixa_Janeiro34[[#This Row],[Março]]</f>
        <v>0</v>
      </c>
      <c r="F122" s="62">
        <f>Fluxo_de_Caixa_Janeiro345[[#This Row],[ABRIL]]</f>
        <v>0</v>
      </c>
      <c r="G122" s="62">
        <f>Fluxo_de_Caixa_Janeiro3459[[#This Row],[MAIO]]</f>
        <v>0</v>
      </c>
      <c r="H122" s="62">
        <f>Fluxo_de_Caixa_Janeiro345911[[#This Row],[JUNHO]]</f>
        <v>0</v>
      </c>
      <c r="I122" s="35">
        <f>Fluxo_de_Caixa_Janeiro3459117[[#This Row],[JULHO]]</f>
        <v>0</v>
      </c>
      <c r="J122" s="62">
        <f>Fluxo_de_Caixa_Janeiro345911710[[#This Row],[AGOSTO]]</f>
        <v>0</v>
      </c>
      <c r="K122" s="62">
        <f>Fluxo_de_Caixa_Janeiro34591171012[[#This Row],[SETEMBRO]]</f>
        <v>0</v>
      </c>
      <c r="L122" s="62">
        <f>Fluxo_de_Caixa_Janeiro3459117101215[[#This Row],[OUTUBRO]]</f>
        <v>0</v>
      </c>
      <c r="M122" s="62">
        <f>Fluxo_de_Caixa_Janeiro345911710121516[[#This Row],[NOVEMBRO]]</f>
        <v>0</v>
      </c>
      <c r="N122" s="119">
        <f>Fluxo_de_Caixa_Janeiro34591171012151619[[#This Row],[DEZEMBRO]]</f>
        <v>0</v>
      </c>
      <c r="O122" s="224">
        <f>SUM(Fluxo_de_Caixa_Janeiro31020818[[#This Row],[Janeiro]:[Dezembro]])</f>
        <v>0</v>
      </c>
      <c r="P122" s="194">
        <f t="shared" si="7"/>
        <v>0</v>
      </c>
      <c r="Q122" s="194"/>
      <c r="R122" s="32" t="str">
        <f>IF(Fluxo_de_Caixa_Janeiro31020818[[#This Row],[% ACUMULADO  ANO 2026]]&lt;=Fluxo_de_Caixa_Janeiro31020818[[#This Row],[Coluna1]],"VERDADEIRO","FALSO")</f>
        <v>VERDADEIRO</v>
      </c>
      <c r="S122" s="246">
        <v>18619.552499999998</v>
      </c>
    </row>
    <row r="123" spans="2:19" ht="15.75" thickBot="1" x14ac:dyDescent="0.3">
      <c r="B123" s="541" t="str">
        <f>Fluxo_de_Caixa_Janeiro[[#This Row],[Fluxo de Caixa 2026 CTR]]</f>
        <v>3.2.23. Decimo Terceiro Integral</v>
      </c>
      <c r="C123" s="35">
        <f>Fluxo_de_Caixa_Janeiro[[#This Row],[Janeiro]]</f>
        <v>0</v>
      </c>
      <c r="D123" s="62">
        <f>Fluxo_de_Caixa_Janeiro3[[#This Row],[Fevereiro]]</f>
        <v>0</v>
      </c>
      <c r="E123" s="62">
        <f>Fluxo_de_Caixa_Janeiro34[[#This Row],[Março]]</f>
        <v>754.91</v>
      </c>
      <c r="F123" s="62">
        <f>Fluxo_de_Caixa_Janeiro345[[#This Row],[ABRIL]]</f>
        <v>0</v>
      </c>
      <c r="G123" s="62">
        <f>Fluxo_de_Caixa_Janeiro3459[[#This Row],[MAIO]]</f>
        <v>0</v>
      </c>
      <c r="H123" s="62">
        <f>Fluxo_de_Caixa_Janeiro345911[[#This Row],[JUNHO]]</f>
        <v>0</v>
      </c>
      <c r="I123" s="35">
        <f>Fluxo_de_Caixa_Janeiro3459117[[#This Row],[JULHO]]</f>
        <v>0</v>
      </c>
      <c r="J123" s="62">
        <f>Fluxo_de_Caixa_Janeiro345911710[[#This Row],[AGOSTO]]</f>
        <v>0</v>
      </c>
      <c r="K123" s="62">
        <f>Fluxo_de_Caixa_Janeiro34591171012[[#This Row],[SETEMBRO]]</f>
        <v>0</v>
      </c>
      <c r="L123" s="62">
        <f>Fluxo_de_Caixa_Janeiro3459117101215[[#This Row],[OUTUBRO]]</f>
        <v>0</v>
      </c>
      <c r="M123" s="62">
        <f>Fluxo_de_Caixa_Janeiro345911710121516[[#This Row],[NOVEMBRO]]</f>
        <v>0</v>
      </c>
      <c r="N123" s="119">
        <f>Fluxo_de_Caixa_Janeiro34591171012151619[[#This Row],[DEZEMBRO]]</f>
        <v>0</v>
      </c>
      <c r="O123" s="224">
        <f>SUM(Fluxo_de_Caixa_Janeiro31020818[[#This Row],[Janeiro]:[Dezembro]])</f>
        <v>754.91</v>
      </c>
      <c r="P123" s="194">
        <f t="shared" si="7"/>
        <v>1.6289115546576049E-4</v>
      </c>
      <c r="Q123" s="194"/>
      <c r="R123" s="32" t="str">
        <f>IF(Fluxo_de_Caixa_Janeiro31020818[[#This Row],[% ACUMULADO  ANO 2026]]&lt;=Fluxo_de_Caixa_Janeiro31020818[[#This Row],[Coluna1]],"VERDADEIRO","FALSO")</f>
        <v>FALSO</v>
      </c>
      <c r="S123" s="287">
        <f>S122-O122</f>
        <v>18619.552499999998</v>
      </c>
    </row>
    <row r="124" spans="2:19" hidden="1" x14ac:dyDescent="0.25">
      <c r="B124" s="480">
        <f>Fluxo_de_Caixa_Janeiro[[#This Row],[Fluxo de Caixa 2026 CTR]]</f>
        <v>0</v>
      </c>
      <c r="C124" s="357">
        <f>Fluxo_de_Caixa_Janeiro[[#This Row],[Janeiro]]</f>
        <v>0</v>
      </c>
      <c r="D124" s="306">
        <f>Fluxo_de_Caixa_Janeiro3[[#This Row],[Fevereiro]]</f>
        <v>0</v>
      </c>
      <c r="E124" s="306">
        <f>Fluxo_de_Caixa_Janeiro34[[#This Row],[Março]]</f>
        <v>0</v>
      </c>
      <c r="F124" s="306">
        <f>Fluxo_de_Caixa_Janeiro345[[#This Row],[ABRIL]]</f>
        <v>0</v>
      </c>
      <c r="G124" s="306">
        <f>Fluxo_de_Caixa_Janeiro3459[[#This Row],[MAIO]]</f>
        <v>0</v>
      </c>
      <c r="H124" s="306">
        <f>Fluxo_de_Caixa_Janeiro345911[[#This Row],[JUNHO]]</f>
        <v>0</v>
      </c>
      <c r="I124" s="357">
        <f>Fluxo_de_Caixa_Janeiro3459117[[#This Row],[JULHO]]</f>
        <v>0</v>
      </c>
      <c r="J124" s="306">
        <f>Fluxo_de_Caixa_Janeiro345911710[[#This Row],[AGOSTO]]</f>
        <v>0</v>
      </c>
      <c r="K124" s="306">
        <f>Fluxo_de_Caixa_Janeiro34591171012[[#This Row],[SETEMBRO]]</f>
        <v>0</v>
      </c>
      <c r="L124" s="306">
        <f>Fluxo_de_Caixa_Janeiro3459117101215[[#This Row],[OUTUBRO]]</f>
        <v>0</v>
      </c>
      <c r="M124" s="306">
        <f>Fluxo_de_Caixa_Janeiro345911710121516[[#This Row],[NOVEMBRO]]</f>
        <v>0</v>
      </c>
      <c r="N124" s="360">
        <f>Fluxo_de_Caixa_Janeiro34591171012151619[[#This Row],[DEZEMBRO]]</f>
        <v>0</v>
      </c>
      <c r="O124" s="479">
        <f>SUM(Fluxo_de_Caixa_Janeiro31020818[[#This Row],[Janeiro]:[Dezembro]])</f>
        <v>0</v>
      </c>
      <c r="P124" s="194">
        <f t="shared" si="7"/>
        <v>0</v>
      </c>
      <c r="Q124" s="194"/>
      <c r="R124" s="32"/>
      <c r="S124" s="287">
        <f>Fluxo_de_Caixa_Janeiro31020818[[#This Row],[Total ano]]+O123</f>
        <v>754.91</v>
      </c>
    </row>
    <row r="125" spans="2:19" hidden="1" x14ac:dyDescent="0.25">
      <c r="B125" s="385">
        <f>Fluxo_de_Caixa_Janeiro[[#This Row],[Fluxo de Caixa 2026 CTR]]</f>
        <v>0</v>
      </c>
      <c r="C125" s="357">
        <f>Fluxo_de_Caixa_Janeiro[[#This Row],[Janeiro]]</f>
        <v>0</v>
      </c>
      <c r="D125" s="306">
        <f>Fluxo_de_Caixa_Janeiro3[[#This Row],[Fevereiro]]</f>
        <v>0</v>
      </c>
      <c r="E125" s="306">
        <f>Fluxo_de_Caixa_Janeiro34[[#This Row],[Março]]</f>
        <v>0</v>
      </c>
      <c r="F125" s="306">
        <f>Fluxo_de_Caixa_Janeiro345[[#This Row],[ABRIL]]</f>
        <v>0</v>
      </c>
      <c r="G125" s="306">
        <f>Fluxo_de_Caixa_Janeiro3459[[#This Row],[MAIO]]</f>
        <v>0</v>
      </c>
      <c r="H125" s="306">
        <f>Fluxo_de_Caixa_Janeiro345911[[#This Row],[JUNHO]]</f>
        <v>0</v>
      </c>
      <c r="I125" s="357">
        <f>Fluxo_de_Caixa_Janeiro3459117[[#This Row],[JULHO]]</f>
        <v>0</v>
      </c>
      <c r="J125" s="306">
        <f>Fluxo_de_Caixa_Janeiro345911710[[#This Row],[AGOSTO]]</f>
        <v>0</v>
      </c>
      <c r="K125" s="306">
        <f>Fluxo_de_Caixa_Janeiro34591171012[[#This Row],[SETEMBRO]]</f>
        <v>0</v>
      </c>
      <c r="L125" s="306">
        <f>Fluxo_de_Caixa_Janeiro3459117101215[[#This Row],[OUTUBRO]]</f>
        <v>0</v>
      </c>
      <c r="M125" s="306">
        <f>Fluxo_de_Caixa_Janeiro345911710121516[[#This Row],[NOVEMBRO]]</f>
        <v>0</v>
      </c>
      <c r="N125" s="360">
        <f>Fluxo_de_Caixa_Janeiro34591171012151619[[#This Row],[DEZEMBRO]]</f>
        <v>0</v>
      </c>
      <c r="O125" s="396">
        <f>SUM(Fluxo_de_Caixa_Janeiro31020818[[#This Row],[Janeiro]:[Dezembro]])</f>
        <v>0</v>
      </c>
      <c r="P125" s="194">
        <f t="shared" si="7"/>
        <v>0</v>
      </c>
      <c r="Q125" s="194"/>
      <c r="R125" s="32"/>
    </row>
    <row r="126" spans="2:19" hidden="1" x14ac:dyDescent="0.25">
      <c r="B126" s="378">
        <f>Fluxo_de_Caixa_Janeiro[[#This Row],[Fluxo de Caixa 2026 CTR]]</f>
        <v>0</v>
      </c>
      <c r="C126" s="358">
        <f>Fluxo_de_Caixa_Janeiro[[#This Row],[Janeiro]]</f>
        <v>0</v>
      </c>
      <c r="D126" s="359">
        <f>Fluxo_de_Caixa_Janeiro3[[#This Row],[Fevereiro]]</f>
        <v>0</v>
      </c>
      <c r="E126" s="359">
        <f>Fluxo_de_Caixa_Janeiro34[[#This Row],[Março]]</f>
        <v>0</v>
      </c>
      <c r="F126" s="359">
        <f>Fluxo_de_Caixa_Janeiro345[[#This Row],[ABRIL]]</f>
        <v>0</v>
      </c>
      <c r="G126" s="359">
        <f>Fluxo_de_Caixa_Janeiro3459[[#This Row],[MAIO]]</f>
        <v>0</v>
      </c>
      <c r="H126" s="359">
        <f>Fluxo_de_Caixa_Janeiro345911[[#This Row],[JUNHO]]</f>
        <v>0</v>
      </c>
      <c r="I126" s="358">
        <f>Fluxo_de_Caixa_Janeiro3459117[[#This Row],[JULHO]]</f>
        <v>0</v>
      </c>
      <c r="J126" s="359">
        <f>Fluxo_de_Caixa_Janeiro345911710[[#This Row],[AGOSTO]]</f>
        <v>0</v>
      </c>
      <c r="K126" s="359">
        <f>Fluxo_de_Caixa_Janeiro34591171012[[#This Row],[SETEMBRO]]</f>
        <v>0</v>
      </c>
      <c r="L126" s="359">
        <f>Fluxo_de_Caixa_Janeiro3459117101215[[#This Row],[OUTUBRO]]</f>
        <v>0</v>
      </c>
      <c r="M126" s="359">
        <f>Fluxo_de_Caixa_Janeiro345911710121516[[#This Row],[NOVEMBRO]]</f>
        <v>0</v>
      </c>
      <c r="N126" s="361">
        <f>Fluxo_de_Caixa_Janeiro34591171012151619[[#This Row],[DEZEMBRO]]</f>
        <v>0</v>
      </c>
      <c r="O126" s="396">
        <f>SUM(Fluxo_de_Caixa_Janeiro31020818[[#This Row],[Janeiro]:[Dezembro]])</f>
        <v>0</v>
      </c>
      <c r="P126" s="194">
        <f t="shared" si="7"/>
        <v>0</v>
      </c>
      <c r="Q126" s="194"/>
      <c r="R126" s="32"/>
    </row>
    <row r="127" spans="2:19" hidden="1" x14ac:dyDescent="0.25">
      <c r="B127" s="385">
        <f>Fluxo_de_Caixa_Janeiro[[#This Row],[Fluxo de Caixa 2026 CTR]]</f>
        <v>0</v>
      </c>
      <c r="C127" s="358">
        <f>Fluxo_de_Caixa_Janeiro[[#This Row],[Janeiro]]</f>
        <v>0</v>
      </c>
      <c r="D127" s="359">
        <f>Fluxo_de_Caixa_Janeiro3[[#This Row],[Fevereiro]]</f>
        <v>0</v>
      </c>
      <c r="E127" s="359">
        <f>Fluxo_de_Caixa_Janeiro34[[#This Row],[Março]]</f>
        <v>0</v>
      </c>
      <c r="F127" s="359">
        <f>Fluxo_de_Caixa_Janeiro345[[#This Row],[ABRIL]]</f>
        <v>0</v>
      </c>
      <c r="G127" s="359">
        <f>Fluxo_de_Caixa_Janeiro3459[[#This Row],[MAIO]]</f>
        <v>0</v>
      </c>
      <c r="H127" s="359">
        <f>Fluxo_de_Caixa_Janeiro345911[[#This Row],[JUNHO]]</f>
        <v>0</v>
      </c>
      <c r="I127" s="358">
        <f>Fluxo_de_Caixa_Janeiro3459117[[#This Row],[JULHO]]</f>
        <v>0</v>
      </c>
      <c r="J127" s="359">
        <f>Fluxo_de_Caixa_Janeiro345911710[[#This Row],[AGOSTO]]</f>
        <v>0</v>
      </c>
      <c r="K127" s="359">
        <f>Fluxo_de_Caixa_Janeiro34591171012[[#This Row],[SETEMBRO]]</f>
        <v>0</v>
      </c>
      <c r="L127" s="359">
        <f>Fluxo_de_Caixa_Janeiro3459117101215[[#This Row],[OUTUBRO]]</f>
        <v>0</v>
      </c>
      <c r="M127" s="359">
        <f>Fluxo_de_Caixa_Janeiro345911710121516[[#This Row],[NOVEMBRO]]</f>
        <v>0</v>
      </c>
      <c r="N127" s="361">
        <f>Fluxo_de_Caixa_Janeiro34591171012151619[[#This Row],[DEZEMBRO]]</f>
        <v>0</v>
      </c>
      <c r="O127" s="396">
        <f>SUM(Fluxo_de_Caixa_Janeiro31020818[[#This Row],[Janeiro]:[Dezembro]])</f>
        <v>0</v>
      </c>
      <c r="P127" s="194">
        <f t="shared" si="7"/>
        <v>0</v>
      </c>
      <c r="Q127" s="194"/>
      <c r="R127" s="32"/>
    </row>
    <row r="128" spans="2:19" hidden="1" x14ac:dyDescent="0.25">
      <c r="B128" s="55">
        <f>Fluxo_de_Caixa_Janeiro[[#This Row],[Fluxo de Caixa 2026 CTR]]</f>
        <v>0</v>
      </c>
      <c r="C128" s="35">
        <f>Fluxo_de_Caixa_Janeiro[[#This Row],[Janeiro]]</f>
        <v>0</v>
      </c>
      <c r="D128" s="62">
        <f>Fluxo_de_Caixa_Janeiro3[[#This Row],[Fevereiro]]</f>
        <v>0</v>
      </c>
      <c r="E128" s="62">
        <f>Fluxo_de_Caixa_Janeiro34[[#This Row],[Março]]</f>
        <v>0</v>
      </c>
      <c r="F128" s="62">
        <f>Fluxo_de_Caixa_Janeiro345[[#This Row],[ABRIL]]</f>
        <v>0</v>
      </c>
      <c r="G128" s="62">
        <f>Fluxo_de_Caixa_Janeiro3459[[#This Row],[MAIO]]</f>
        <v>0</v>
      </c>
      <c r="H128" s="62">
        <f>Fluxo_de_Caixa_Janeiro345911[[#This Row],[JUNHO]]</f>
        <v>0</v>
      </c>
      <c r="I128" s="35">
        <f>Fluxo_de_Caixa_Janeiro3459117[[#This Row],[JULHO]]</f>
        <v>0</v>
      </c>
      <c r="J128" s="62">
        <f>Fluxo_de_Caixa_Janeiro345911710[[#This Row],[AGOSTO]]</f>
        <v>0</v>
      </c>
      <c r="K128" s="62">
        <f>Fluxo_de_Caixa_Janeiro34591171012[[#This Row],[SETEMBRO]]</f>
        <v>0</v>
      </c>
      <c r="L128" s="62">
        <f>Fluxo_de_Caixa_Janeiro3459117101215[[#This Row],[OUTUBRO]]</f>
        <v>0</v>
      </c>
      <c r="M128" s="62">
        <f>Fluxo_de_Caixa_Janeiro345911710121516[[#This Row],[NOVEMBRO]]</f>
        <v>0</v>
      </c>
      <c r="N128" s="119">
        <f>Fluxo_de_Caixa_Janeiro34591171012151619[[#This Row],[DEZEMBRO]]</f>
        <v>0</v>
      </c>
      <c r="O128" s="224">
        <f>SUM(Fluxo_de_Caixa_Janeiro31020818[[#This Row],[Janeiro]:[Dezembro]])</f>
        <v>0</v>
      </c>
      <c r="P128" s="194">
        <f t="shared" si="7"/>
        <v>0</v>
      </c>
      <c r="Q128" s="194"/>
      <c r="R128" s="32" t="str">
        <f>IF(Fluxo_de_Caixa_Janeiro31020818[[#This Row],[% ACUMULADO  ANO 2026]]&lt;=Fluxo_de_Caixa_Janeiro31020818[[#This Row],[Coluna1]],"VERDADEIRO","FALSO")</f>
        <v>VERDADEIRO</v>
      </c>
    </row>
    <row r="129" spans="1:18" hidden="1" x14ac:dyDescent="0.25">
      <c r="B129" s="55">
        <f>Fluxo_de_Caixa_Janeiro[[#This Row],[Fluxo de Caixa 2026 CTR]]</f>
        <v>0</v>
      </c>
      <c r="C129" s="35">
        <f>Fluxo_de_Caixa_Janeiro[[#This Row],[Janeiro]]</f>
        <v>0</v>
      </c>
      <c r="D129" s="62">
        <f>Fluxo_de_Caixa_Janeiro3[[#This Row],[Fevereiro]]</f>
        <v>0</v>
      </c>
      <c r="E129" s="62">
        <f>Fluxo_de_Caixa_Janeiro34[[#This Row],[Março]]</f>
        <v>0</v>
      </c>
      <c r="F129" s="62">
        <f>Fluxo_de_Caixa_Janeiro345[[#This Row],[ABRIL]]</f>
        <v>0</v>
      </c>
      <c r="G129" s="62">
        <f>Fluxo_de_Caixa_Janeiro3459[[#This Row],[MAIO]]</f>
        <v>0</v>
      </c>
      <c r="H129" s="62">
        <f>Fluxo_de_Caixa_Janeiro345911[[#This Row],[JUNHO]]</f>
        <v>0</v>
      </c>
      <c r="I129" s="35">
        <f>Fluxo_de_Caixa_Janeiro3459117[[#This Row],[JULHO]]</f>
        <v>0</v>
      </c>
      <c r="J129" s="62">
        <f>Fluxo_de_Caixa_Janeiro345911710[[#This Row],[AGOSTO]]</f>
        <v>0</v>
      </c>
      <c r="K129" s="62">
        <f>Fluxo_de_Caixa_Janeiro34591171012[[#This Row],[SETEMBRO]]</f>
        <v>0</v>
      </c>
      <c r="L129" s="62">
        <f>Fluxo_de_Caixa_Janeiro3459117101215[[#This Row],[OUTUBRO]]</f>
        <v>0</v>
      </c>
      <c r="M129" s="62">
        <f>Fluxo_de_Caixa_Janeiro345911710121516[[#This Row],[NOVEMBRO]]</f>
        <v>0</v>
      </c>
      <c r="N129" s="119">
        <f>Fluxo_de_Caixa_Janeiro34591171012151619[[#This Row],[DEZEMBRO]]</f>
        <v>0</v>
      </c>
      <c r="O129" s="224">
        <f>SUM(Fluxo_de_Caixa_Janeiro31020818[[#This Row],[Janeiro]:[Dezembro]])</f>
        <v>0</v>
      </c>
      <c r="P129" s="194">
        <f t="shared" si="7"/>
        <v>0</v>
      </c>
      <c r="Q129" s="194"/>
      <c r="R129" s="32" t="str">
        <f>IF(Fluxo_de_Caixa_Janeiro31020818[[#This Row],[% ACUMULADO  ANO 2026]]&lt;=Fluxo_de_Caixa_Janeiro31020818[[#This Row],[Coluna1]],"VERDADEIRO","FALSO")</f>
        <v>VERDADEIRO</v>
      </c>
    </row>
    <row r="130" spans="1:18" ht="15.75" hidden="1" thickBot="1" x14ac:dyDescent="0.3">
      <c r="B130" s="276">
        <f>Fluxo_de_Caixa_Janeiro[[#This Row],[Fluxo de Caixa 2026 CTR]]</f>
        <v>0</v>
      </c>
      <c r="C130" s="36">
        <f>Fluxo_de_Caixa_Janeiro[[#This Row],[Janeiro]]</f>
        <v>0</v>
      </c>
      <c r="D130" s="82">
        <f>Fluxo_de_Caixa_Janeiro3[[#This Row],[Fevereiro]]</f>
        <v>0</v>
      </c>
      <c r="E130" s="82">
        <f>Fluxo_de_Caixa_Janeiro34[[#This Row],[Março]]</f>
        <v>0</v>
      </c>
      <c r="F130" s="82">
        <f>Fluxo_de_Caixa_Janeiro345[[#This Row],[ABRIL]]</f>
        <v>0</v>
      </c>
      <c r="G130" s="82">
        <f>Fluxo_de_Caixa_Janeiro3459[[#This Row],[MAIO]]</f>
        <v>0</v>
      </c>
      <c r="H130" s="82">
        <f>Fluxo_de_Caixa_Janeiro345911[[#This Row],[JUNHO]]</f>
        <v>0</v>
      </c>
      <c r="I130" s="36">
        <f>Fluxo_de_Caixa_Janeiro3459117[[#This Row],[JULHO]]</f>
        <v>0</v>
      </c>
      <c r="J130" s="82">
        <f>Fluxo_de_Caixa_Janeiro345911710[[#This Row],[AGOSTO]]</f>
        <v>0</v>
      </c>
      <c r="K130" s="82">
        <f>Fluxo_de_Caixa_Janeiro34591171012[[#This Row],[SETEMBRO]]</f>
        <v>0</v>
      </c>
      <c r="L130" s="82">
        <f>Fluxo_de_Caixa_Janeiro3459117101215[[#This Row],[OUTUBRO]]</f>
        <v>0</v>
      </c>
      <c r="M130" s="82">
        <f>Fluxo_de_Caixa_Janeiro345911710121516[[#This Row],[NOVEMBRO]]</f>
        <v>0</v>
      </c>
      <c r="N130" s="120">
        <f>Fluxo_de_Caixa_Janeiro34591171012151619[[#This Row],[DEZEMBRO]]</f>
        <v>0</v>
      </c>
      <c r="O130" s="225">
        <f>SUM(Fluxo_de_Caixa_Janeiro31020818[[#This Row],[Janeiro]:[Dezembro]])</f>
        <v>0</v>
      </c>
      <c r="P130" s="195">
        <f t="shared" si="7"/>
        <v>0</v>
      </c>
      <c r="Q130" s="195"/>
      <c r="R130" s="32" t="str">
        <f>IF(Fluxo_de_Caixa_Janeiro31020818[[#This Row],[% ACUMULADO  ANO 2026]]&lt;=Fluxo_de_Caixa_Janeiro31020818[[#This Row],[Coluna1]],"VERDADEIRO","FALSO")</f>
        <v>VERDADEIRO</v>
      </c>
    </row>
    <row r="131" spans="1:18" ht="19.5" thickBot="1" x14ac:dyDescent="0.35">
      <c r="A131" s="16" t="s">
        <v>5</v>
      </c>
      <c r="B131" s="277" t="str">
        <f>Fluxo_de_Caixa_Janeiro[[#This Row],[Fluxo de Caixa 2026 CTR]]</f>
        <v>3.3. DESPESAS INFORMATICA</v>
      </c>
      <c r="C131" s="158">
        <f>Fluxo_de_Caixa_Janeiro[[#This Row],[Janeiro]]</f>
        <v>-5693.12</v>
      </c>
      <c r="D131" s="97">
        <f>Fluxo_de_Caixa_Janeiro3[[#This Row],[Fevereiro]]</f>
        <v>-6089.2800000000007</v>
      </c>
      <c r="E131" s="97">
        <f>Fluxo_de_Caixa_Janeiro34[[#This Row],[Março]]</f>
        <v>-6861.52</v>
      </c>
      <c r="F131" s="97">
        <f>Fluxo_de_Caixa_Janeiro345[[#This Row],[ABRIL]]</f>
        <v>-5481.52</v>
      </c>
      <c r="G131" s="97">
        <f>Fluxo_de_Caixa_Janeiro3459[[#This Row],[MAIO]]</f>
        <v>-5281.52</v>
      </c>
      <c r="H131" s="97">
        <f>Fluxo_de_Caixa_Janeiro345911[[#This Row],[JUNHO]]</f>
        <v>0</v>
      </c>
      <c r="I131" s="158">
        <f>Fluxo_de_Caixa_Janeiro3459117[[#This Row],[JULHO]]</f>
        <v>0</v>
      </c>
      <c r="J131" s="97">
        <f>Fluxo_de_Caixa_Janeiro345911710[[#This Row],[AGOSTO]]</f>
        <v>0</v>
      </c>
      <c r="K131" s="97">
        <f>Fluxo_de_Caixa_Janeiro34591171012[[#This Row],[SETEMBRO]]</f>
        <v>0</v>
      </c>
      <c r="L131" s="97">
        <f>Fluxo_de_Caixa_Janeiro3459117101215[[#This Row],[OUTUBRO]]</f>
        <v>0</v>
      </c>
      <c r="M131" s="97">
        <f>Fluxo_de_Caixa_Janeiro345911710121516[[#This Row],[NOVEMBRO]]</f>
        <v>0</v>
      </c>
      <c r="N131" s="129">
        <f>Fluxo_de_Caixa_Janeiro34591171012151619[[#This Row],[DEZEMBRO]]</f>
        <v>0</v>
      </c>
      <c r="O131" s="226">
        <f>SUM(Fluxo_de_Caixa_Janeiro31020818[[#This Row],[Janeiro]:[Dezembro]])</f>
        <v>-29406.960000000003</v>
      </c>
      <c r="P131" s="144">
        <f>-IFERROR(O131/$O$27,"0,00")</f>
        <v>6.3453043318215429E-3</v>
      </c>
      <c r="Q131" s="144"/>
      <c r="R131" s="32" t="str">
        <f>IF(Fluxo_de_Caixa_Janeiro31020818[[#This Row],[% ACUMULADO  ANO 2026]]&lt;=Fluxo_de_Caixa_Janeiro31020818[[#This Row],[Coluna1]],"VERDADEIRO","FALSO")</f>
        <v>FALSO</v>
      </c>
    </row>
    <row r="132" spans="1:18" x14ac:dyDescent="0.25">
      <c r="B132" s="169" t="str">
        <f>Fluxo_de_Caixa_Janeiro[[#This Row],[Fluxo de Caixa 2026 CTR]]</f>
        <v>3.3.01. Aquisição Equipamento Informa. Não Imobilizavel</v>
      </c>
      <c r="C132" s="41">
        <f>Fluxo_de_Caixa_Janeiro[[#This Row],[Janeiro]]</f>
        <v>0</v>
      </c>
      <c r="D132" s="81">
        <f>Fluxo_de_Caixa_Janeiro3[[#This Row],[Fevereiro]]</f>
        <v>0</v>
      </c>
      <c r="E132" s="81">
        <f>Fluxo_de_Caixa_Janeiro34[[#This Row],[Março]]</f>
        <v>0</v>
      </c>
      <c r="F132" s="81">
        <f>Fluxo_de_Caixa_Janeiro345[[#This Row],[ABRIL]]</f>
        <v>200</v>
      </c>
      <c r="G132" s="81">
        <f>Fluxo_de_Caixa_Janeiro3459[[#This Row],[MAIO]]</f>
        <v>0</v>
      </c>
      <c r="H132" s="81">
        <f>Fluxo_de_Caixa_Janeiro345911[[#This Row],[JUNHO]]</f>
        <v>0</v>
      </c>
      <c r="I132" s="41">
        <f>Fluxo_de_Caixa_Janeiro3459117[[#This Row],[JULHO]]</f>
        <v>0</v>
      </c>
      <c r="J132" s="81">
        <f>Fluxo_de_Caixa_Janeiro345911710[[#This Row],[AGOSTO]]</f>
        <v>0</v>
      </c>
      <c r="K132" s="646">
        <f>Fluxo_de_Caixa_Janeiro34591171012[[#This Row],[SETEMBRO]]</f>
        <v>0</v>
      </c>
      <c r="L132" s="646">
        <f>Fluxo_de_Caixa_Janeiro3459117101215[[#This Row],[OUTUBRO]]</f>
        <v>0</v>
      </c>
      <c r="M132" s="81">
        <f>Fluxo_de_Caixa_Janeiro345911710121516[[#This Row],[NOVEMBRO]]</f>
        <v>0</v>
      </c>
      <c r="N132" s="118">
        <f>Fluxo_de_Caixa_Janeiro34591171012151619[[#This Row],[DEZEMBRO]]</f>
        <v>0</v>
      </c>
      <c r="O132" s="223">
        <f>SUM(Fluxo_de_Caixa_Janeiro31020818[[#This Row],[Janeiro]:[Dezembro]])</f>
        <v>200</v>
      </c>
      <c r="P132" s="193">
        <f t="shared" ref="P132:P144" si="8">IFERROR(O132/$O$27,"0,00%")</f>
        <v>4.3155119276671523E-5</v>
      </c>
      <c r="Q132" s="193"/>
      <c r="R132" s="32" t="str">
        <f>IF(Fluxo_de_Caixa_Janeiro31020818[[#This Row],[% ACUMULADO  ANO 2026]]&lt;=Fluxo_de_Caixa_Janeiro31020818[[#This Row],[Coluna1]],"VERDADEIRO","FALSO")</f>
        <v>FALSO</v>
      </c>
    </row>
    <row r="133" spans="1:18" hidden="1" x14ac:dyDescent="0.25">
      <c r="B133" s="55">
        <f>Fluxo_de_Caixa_Janeiro[[#This Row],[Fluxo de Caixa 2026 CTR]]</f>
        <v>0</v>
      </c>
      <c r="C133" s="35">
        <f>Fluxo_de_Caixa_Janeiro[[#This Row],[Janeiro]]</f>
        <v>0</v>
      </c>
      <c r="D133" s="62">
        <f>Fluxo_de_Caixa_Janeiro3[[#This Row],[Fevereiro]]</f>
        <v>0</v>
      </c>
      <c r="E133" s="62">
        <f>Fluxo_de_Caixa_Janeiro34[[#This Row],[Março]]</f>
        <v>0</v>
      </c>
      <c r="F133" s="62">
        <f>Fluxo_de_Caixa_Janeiro345[[#This Row],[ABRIL]]</f>
        <v>0</v>
      </c>
      <c r="G133" s="62">
        <f>Fluxo_de_Caixa_Janeiro3459[[#This Row],[MAIO]]</f>
        <v>0</v>
      </c>
      <c r="H133" s="62">
        <f>Fluxo_de_Caixa_Janeiro345911[[#This Row],[JUNHO]]</f>
        <v>0</v>
      </c>
      <c r="I133" s="35">
        <f>Fluxo_de_Caixa_Janeiro3459117[[#This Row],[JULHO]]</f>
        <v>0</v>
      </c>
      <c r="J133" s="62">
        <f>Fluxo_de_Caixa_Janeiro345911710[[#This Row],[AGOSTO]]</f>
        <v>0</v>
      </c>
      <c r="K133" s="62">
        <f>Fluxo_de_Caixa_Janeiro34591171012[[#This Row],[SETEMBRO]]</f>
        <v>0</v>
      </c>
      <c r="L133" s="62">
        <f>Fluxo_de_Caixa_Janeiro3459117101215[[#This Row],[OUTUBRO]]</f>
        <v>0</v>
      </c>
      <c r="M133" s="62">
        <f>Fluxo_de_Caixa_Janeiro345911710121516[[#This Row],[NOVEMBRO]]</f>
        <v>0</v>
      </c>
      <c r="N133" s="119">
        <f>Fluxo_de_Caixa_Janeiro34591171012151619[[#This Row],[DEZEMBRO]]</f>
        <v>0</v>
      </c>
      <c r="O133" s="224">
        <f>SUM(Fluxo_de_Caixa_Janeiro31020818[[#This Row],[Janeiro]:[Dezembro]])</f>
        <v>0</v>
      </c>
      <c r="P133" s="194">
        <f t="shared" si="8"/>
        <v>0</v>
      </c>
      <c r="Q133" s="194"/>
      <c r="R133" s="32" t="str">
        <f>IF(Fluxo_de_Caixa_Janeiro31020818[[#This Row],[% ACUMULADO  ANO 2026]]&lt;=Fluxo_de_Caixa_Janeiro31020818[[#This Row],[Coluna1]],"VERDADEIRO","FALSO")</f>
        <v>VERDADEIRO</v>
      </c>
    </row>
    <row r="134" spans="1:18" x14ac:dyDescent="0.25">
      <c r="B134" s="55" t="str">
        <f>Fluxo_de_Caixa_Janeiro[[#This Row],[Fluxo de Caixa 2026 CTR]]</f>
        <v>3.3.03. Consultoria de TI</v>
      </c>
      <c r="C134" s="35">
        <f>Fluxo_de_Caixa_Janeiro[[#This Row],[Janeiro]]</f>
        <v>2050</v>
      </c>
      <c r="D134" s="62">
        <f>Fluxo_de_Caixa_Janeiro3[[#This Row],[Fevereiro]]</f>
        <v>1350</v>
      </c>
      <c r="E134" s="62">
        <f>Fluxo_de_Caixa_Janeiro34[[#This Row],[Março]]</f>
        <v>3380</v>
      </c>
      <c r="F134" s="62">
        <f>Fluxo_de_Caixa_Janeiro345[[#This Row],[ABRIL]]</f>
        <v>1800</v>
      </c>
      <c r="G134" s="62">
        <f>Fluxo_de_Caixa_Janeiro3459[[#This Row],[MAIO]]</f>
        <v>1800</v>
      </c>
      <c r="H134" s="62">
        <f>Fluxo_de_Caixa_Janeiro345911[[#This Row],[JUNHO]]</f>
        <v>0</v>
      </c>
      <c r="I134" s="35">
        <f>Fluxo_de_Caixa_Janeiro3459117[[#This Row],[JULHO]]</f>
        <v>0</v>
      </c>
      <c r="J134" s="62">
        <f>Fluxo_de_Caixa_Janeiro345911710[[#This Row],[AGOSTO]]</f>
        <v>0</v>
      </c>
      <c r="K134" s="62">
        <f>Fluxo_de_Caixa_Janeiro34591171012[[#This Row],[SETEMBRO]]</f>
        <v>0</v>
      </c>
      <c r="L134" s="62">
        <f>Fluxo_de_Caixa_Janeiro3459117101215[[#This Row],[OUTUBRO]]</f>
        <v>0</v>
      </c>
      <c r="M134" s="62">
        <f>Fluxo_de_Caixa_Janeiro345911710121516[[#This Row],[NOVEMBRO]]</f>
        <v>0</v>
      </c>
      <c r="N134" s="119">
        <f>Fluxo_de_Caixa_Janeiro34591171012151619[[#This Row],[DEZEMBRO]]</f>
        <v>0</v>
      </c>
      <c r="O134" s="224">
        <f>SUM(Fluxo_de_Caixa_Janeiro31020818[[#This Row],[Janeiro]:[Dezembro]])</f>
        <v>10380</v>
      </c>
      <c r="P134" s="194">
        <f t="shared" si="8"/>
        <v>2.2397506904592518E-3</v>
      </c>
      <c r="Q134" s="194"/>
      <c r="R134" s="32" t="str">
        <f>IF(Fluxo_de_Caixa_Janeiro31020818[[#This Row],[% ACUMULADO  ANO 2026]]&lt;=Fluxo_de_Caixa_Janeiro31020818[[#This Row],[Coluna1]],"VERDADEIRO","FALSO")</f>
        <v>FALSO</v>
      </c>
    </row>
    <row r="135" spans="1:18" x14ac:dyDescent="0.25">
      <c r="B135" s="55" t="str">
        <f>Fluxo_de_Caixa_Janeiro[[#This Row],[Fluxo de Caixa 2026 CTR]]</f>
        <v>3.3.04. Mensalidade Programa de Tecnologia Informatica</v>
      </c>
      <c r="C135" s="35">
        <f>Fluxo_de_Caixa_Janeiro[[#This Row],[Janeiro]]</f>
        <v>3163.12</v>
      </c>
      <c r="D135" s="62">
        <f>Fluxo_de_Caixa_Janeiro3[[#This Row],[Fevereiro]]</f>
        <v>3462.52</v>
      </c>
      <c r="E135" s="62">
        <f>Fluxo_de_Caixa_Janeiro34[[#This Row],[Março]]</f>
        <v>3481.52</v>
      </c>
      <c r="F135" s="62">
        <f>Fluxo_de_Caixa_Janeiro345[[#This Row],[ABRIL]]</f>
        <v>3481.52</v>
      </c>
      <c r="G135" s="62">
        <f>Fluxo_de_Caixa_Janeiro3459[[#This Row],[MAIO]]</f>
        <v>3481.52</v>
      </c>
      <c r="H135" s="62">
        <f>Fluxo_de_Caixa_Janeiro345911[[#This Row],[JUNHO]]</f>
        <v>0</v>
      </c>
      <c r="I135" s="35">
        <f>Fluxo_de_Caixa_Janeiro3459117[[#This Row],[JULHO]]</f>
        <v>0</v>
      </c>
      <c r="J135" s="62">
        <f>Fluxo_de_Caixa_Janeiro345911710[[#This Row],[AGOSTO]]</f>
        <v>0</v>
      </c>
      <c r="K135" s="62">
        <f>Fluxo_de_Caixa_Janeiro34591171012[[#This Row],[SETEMBRO]]</f>
        <v>0</v>
      </c>
      <c r="L135" s="62">
        <f>Fluxo_de_Caixa_Janeiro3459117101215[[#This Row],[OUTUBRO]]</f>
        <v>0</v>
      </c>
      <c r="M135" s="62">
        <f>Fluxo_de_Caixa_Janeiro345911710121516[[#This Row],[NOVEMBRO]]</f>
        <v>0</v>
      </c>
      <c r="N135" s="119">
        <f>Fluxo_de_Caixa_Janeiro34591171012151619[[#This Row],[DEZEMBRO]]</f>
        <v>0</v>
      </c>
      <c r="O135" s="224">
        <f>SUM(Fluxo_de_Caixa_Janeiro31020818[[#This Row],[Janeiro]:[Dezembro]])</f>
        <v>17070.2</v>
      </c>
      <c r="P135" s="194">
        <f t="shared" si="8"/>
        <v>3.6833325853831912E-3</v>
      </c>
      <c r="Q135" s="194"/>
      <c r="R135" s="32" t="str">
        <f>IF(Fluxo_de_Caixa_Janeiro31020818[[#This Row],[% ACUMULADO  ANO 2026]]&lt;=Fluxo_de_Caixa_Janeiro31020818[[#This Row],[Coluna1]],"VERDADEIRO","FALSO")</f>
        <v>FALSO</v>
      </c>
    </row>
    <row r="136" spans="1:18" x14ac:dyDescent="0.25">
      <c r="B136" s="55" t="str">
        <f>Fluxo_de_Caixa_Janeiro[[#This Row],[Fluxo de Caixa 2026 CTR]]</f>
        <v>3.3.05. MANUT E REPAROS EM EQUIPAME. INFORMATI</v>
      </c>
      <c r="C136" s="35">
        <f>Fluxo_de_Caixa_Janeiro[[#This Row],[Janeiro]]</f>
        <v>480</v>
      </c>
      <c r="D136" s="62">
        <f>Fluxo_de_Caixa_Janeiro3[[#This Row],[Fevereiro]]</f>
        <v>336.62</v>
      </c>
      <c r="E136" s="62">
        <f>Fluxo_de_Caixa_Janeiro34[[#This Row],[Março]]</f>
        <v>0</v>
      </c>
      <c r="F136" s="62">
        <f>Fluxo_de_Caixa_Janeiro345[[#This Row],[ABRIL]]</f>
        <v>0</v>
      </c>
      <c r="G136" s="62">
        <f>Fluxo_de_Caixa_Janeiro3459[[#This Row],[MAIO]]</f>
        <v>0</v>
      </c>
      <c r="H136" s="62">
        <f>Fluxo_de_Caixa_Janeiro345911[[#This Row],[JUNHO]]</f>
        <v>0</v>
      </c>
      <c r="I136" s="35">
        <f>Fluxo_de_Caixa_Janeiro3459117[[#This Row],[JULHO]]</f>
        <v>0</v>
      </c>
      <c r="J136" s="62">
        <f>Fluxo_de_Caixa_Janeiro345911710[[#This Row],[AGOSTO]]</f>
        <v>0</v>
      </c>
      <c r="K136" s="62">
        <f>Fluxo_de_Caixa_Janeiro34591171012[[#This Row],[SETEMBRO]]</f>
        <v>0</v>
      </c>
      <c r="L136" s="62">
        <f>Fluxo_de_Caixa_Janeiro3459117101215[[#This Row],[OUTUBRO]]</f>
        <v>0</v>
      </c>
      <c r="M136" s="62">
        <f>Fluxo_de_Caixa_Janeiro345911710121516[[#This Row],[NOVEMBRO]]</f>
        <v>0</v>
      </c>
      <c r="N136" s="119">
        <f>Fluxo_de_Caixa_Janeiro34591171012151619[[#This Row],[DEZEMBRO]]</f>
        <v>0</v>
      </c>
      <c r="O136" s="224">
        <f>SUM(Fluxo_de_Caixa_Janeiro31020818[[#This Row],[Janeiro]:[Dezembro]])</f>
        <v>816.62</v>
      </c>
      <c r="P136" s="194">
        <f t="shared" si="8"/>
        <v>1.7620666751857751E-4</v>
      </c>
      <c r="Q136" s="194"/>
      <c r="R136" s="32" t="str">
        <f>IF(Fluxo_de_Caixa_Janeiro31020818[[#This Row],[% ACUMULADO  ANO 2026]]&lt;=Fluxo_de_Caixa_Janeiro31020818[[#This Row],[Coluna1]],"VERDADEIRO","FALSO")</f>
        <v>FALSO</v>
      </c>
    </row>
    <row r="137" spans="1:18" x14ac:dyDescent="0.25">
      <c r="B137" s="55" t="str">
        <f>Fluxo_de_Caixa_Janeiro[[#This Row],[Fluxo de Caixa 2026 CTR]]</f>
        <v>3.3.06. Manutenção Sitemas e Softwares</v>
      </c>
      <c r="C137" s="35">
        <f>Fluxo_de_Caixa_Janeiro[[#This Row],[Janeiro]]</f>
        <v>0</v>
      </c>
      <c r="D137" s="62">
        <f>Fluxo_de_Caixa_Janeiro3[[#This Row],[Fevereiro]]</f>
        <v>940.14</v>
      </c>
      <c r="E137" s="62">
        <f>Fluxo_de_Caixa_Janeiro34[[#This Row],[Março]]</f>
        <v>0</v>
      </c>
      <c r="F137" s="62">
        <f>Fluxo_de_Caixa_Janeiro345[[#This Row],[ABRIL]]</f>
        <v>0</v>
      </c>
      <c r="G137" s="62">
        <f>Fluxo_de_Caixa_Janeiro3459[[#This Row],[MAIO]]</f>
        <v>0</v>
      </c>
      <c r="H137" s="62">
        <f>Fluxo_de_Caixa_Janeiro345911[[#This Row],[JUNHO]]</f>
        <v>0</v>
      </c>
      <c r="I137" s="35">
        <f>Fluxo_de_Caixa_Janeiro3459117[[#This Row],[JULHO]]</f>
        <v>0</v>
      </c>
      <c r="J137" s="62">
        <f>Fluxo_de_Caixa_Janeiro345911710[[#This Row],[AGOSTO]]</f>
        <v>0</v>
      </c>
      <c r="K137" s="62">
        <f>Fluxo_de_Caixa_Janeiro34591171012[[#This Row],[SETEMBRO]]</f>
        <v>0</v>
      </c>
      <c r="L137" s="62">
        <f>Fluxo_de_Caixa_Janeiro3459117101215[[#This Row],[OUTUBRO]]</f>
        <v>0</v>
      </c>
      <c r="M137" s="62">
        <f>Fluxo_de_Caixa_Janeiro345911710121516[[#This Row],[NOVEMBRO]]</f>
        <v>0</v>
      </c>
      <c r="N137" s="119">
        <f>Fluxo_de_Caixa_Janeiro34591171012151619[[#This Row],[DEZEMBRO]]</f>
        <v>0</v>
      </c>
      <c r="O137" s="224">
        <f>SUM(Fluxo_de_Caixa_Janeiro31020818[[#This Row],[Janeiro]:[Dezembro]])</f>
        <v>940.14</v>
      </c>
      <c r="P137" s="194">
        <f t="shared" si="8"/>
        <v>2.0285926918384983E-4</v>
      </c>
      <c r="Q137" s="194"/>
      <c r="R137" s="32" t="str">
        <f>IF(Fluxo_de_Caixa_Janeiro31020818[[#This Row],[% ACUMULADO  ANO 2026]]&lt;=Fluxo_de_Caixa_Janeiro31020818[[#This Row],[Coluna1]],"VERDADEIRO","FALSO")</f>
        <v>FALSO</v>
      </c>
    </row>
    <row r="138" spans="1:18" x14ac:dyDescent="0.25">
      <c r="B138" s="55" t="str">
        <f>Fluxo_de_Caixa_Janeiro[[#This Row],[Fluxo de Caixa 2026 CTR]]</f>
        <v>3.3.07. Locação Equipamento Informatica</v>
      </c>
      <c r="C138" s="35">
        <f>Fluxo_de_Caixa_Janeiro[[#This Row],[Janeiro]]</f>
        <v>0</v>
      </c>
      <c r="D138" s="62">
        <f>Fluxo_de_Caixa_Janeiro3[[#This Row],[Fevereiro]]</f>
        <v>0</v>
      </c>
      <c r="E138" s="62">
        <f>Fluxo_de_Caixa_Janeiro34[[#This Row],[Março]]</f>
        <v>0</v>
      </c>
      <c r="F138" s="62">
        <f>Fluxo_de_Caixa_Janeiro345[[#This Row],[ABRIL]]</f>
        <v>0</v>
      </c>
      <c r="G138" s="62">
        <f>Fluxo_de_Caixa_Janeiro3459[[#This Row],[MAIO]]</f>
        <v>0</v>
      </c>
      <c r="H138" s="62">
        <f>Fluxo_de_Caixa_Janeiro345911[[#This Row],[JUNHO]]</f>
        <v>0</v>
      </c>
      <c r="I138" s="35">
        <f>Fluxo_de_Caixa_Janeiro3459117[[#This Row],[JULHO]]</f>
        <v>0</v>
      </c>
      <c r="J138" s="62">
        <f>Fluxo_de_Caixa_Janeiro345911710[[#This Row],[AGOSTO]]</f>
        <v>0</v>
      </c>
      <c r="K138" s="62">
        <f>Fluxo_de_Caixa_Janeiro34591171012[[#This Row],[SETEMBRO]]</f>
        <v>0</v>
      </c>
      <c r="L138" s="62">
        <f>Fluxo_de_Caixa_Janeiro3459117101215[[#This Row],[OUTUBRO]]</f>
        <v>0</v>
      </c>
      <c r="M138" s="62">
        <f>Fluxo_de_Caixa_Janeiro345911710121516[[#This Row],[NOVEMBRO]]</f>
        <v>0</v>
      </c>
      <c r="N138" s="119">
        <f>Fluxo_de_Caixa_Janeiro34591171012151619[[#This Row],[DEZEMBRO]]</f>
        <v>0</v>
      </c>
      <c r="O138" s="224">
        <f>SUM(Fluxo_de_Caixa_Janeiro31020818[[#This Row],[Janeiro]:[Dezembro]])</f>
        <v>0</v>
      </c>
      <c r="P138" s="194">
        <f t="shared" si="8"/>
        <v>0</v>
      </c>
      <c r="Q138" s="194"/>
      <c r="R138" s="32" t="str">
        <f>IF(Fluxo_de_Caixa_Janeiro31020818[[#This Row],[% ACUMULADO  ANO 2026]]&lt;=Fluxo_de_Caixa_Janeiro31020818[[#This Row],[Coluna1]],"VERDADEIRO","FALSO")</f>
        <v>VERDADEIRO</v>
      </c>
    </row>
    <row r="139" spans="1:18" x14ac:dyDescent="0.25">
      <c r="B139" s="55" t="str">
        <f>Fluxo_de_Caixa_Janeiro[[#This Row],[Fluxo de Caixa 2026 CTR]]</f>
        <v>3.3.08. Transmissão de Dados Servidor</v>
      </c>
      <c r="C139" s="35">
        <f>Fluxo_de_Caixa_Janeiro[[#This Row],[Janeiro]]</f>
        <v>0</v>
      </c>
      <c r="D139" s="62">
        <f>Fluxo_de_Caixa_Janeiro3[[#This Row],[Fevereiro]]</f>
        <v>0</v>
      </c>
      <c r="E139" s="62">
        <f>Fluxo_de_Caixa_Janeiro34[[#This Row],[Março]]</f>
        <v>0</v>
      </c>
      <c r="F139" s="62">
        <f>Fluxo_de_Caixa_Janeiro345[[#This Row],[ABRIL]]</f>
        <v>0</v>
      </c>
      <c r="G139" s="62">
        <f>Fluxo_de_Caixa_Janeiro3459[[#This Row],[MAIO]]</f>
        <v>0</v>
      </c>
      <c r="H139" s="62">
        <f>Fluxo_de_Caixa_Janeiro345911[[#This Row],[JUNHO]]</f>
        <v>0</v>
      </c>
      <c r="I139" s="35">
        <f>Fluxo_de_Caixa_Janeiro3459117[[#This Row],[JULHO]]</f>
        <v>0</v>
      </c>
      <c r="J139" s="407">
        <f>Fluxo_de_Caixa_Janeiro345911710[[#This Row],[AGOSTO]]</f>
        <v>0</v>
      </c>
      <c r="K139" s="407">
        <f>Fluxo_de_Caixa_Janeiro34591171012[[#This Row],[SETEMBRO]]</f>
        <v>0</v>
      </c>
      <c r="L139" s="407">
        <f>Fluxo_de_Caixa_Janeiro3459117101215[[#This Row],[OUTUBRO]]</f>
        <v>0</v>
      </c>
      <c r="M139" s="407">
        <f>Fluxo_de_Caixa_Janeiro345911710121516[[#This Row],[NOVEMBRO]]</f>
        <v>0</v>
      </c>
      <c r="N139" s="119">
        <f>Fluxo_de_Caixa_Janeiro34591171012151619[[#This Row],[DEZEMBRO]]</f>
        <v>0</v>
      </c>
      <c r="O139" s="224">
        <f>SUM(Fluxo_de_Caixa_Janeiro31020818[[#This Row],[Janeiro]:[Dezembro]])</f>
        <v>0</v>
      </c>
      <c r="P139" s="194">
        <f t="shared" si="8"/>
        <v>0</v>
      </c>
      <c r="Q139" s="194"/>
      <c r="R139" s="32" t="str">
        <f>IF(Fluxo_de_Caixa_Janeiro31020818[[#This Row],[% ACUMULADO  ANO 2026]]&lt;=Fluxo_de_Caixa_Janeiro31020818[[#This Row],[Coluna1]],"VERDADEIRO","FALSO")</f>
        <v>VERDADEIRO</v>
      </c>
    </row>
    <row r="140" spans="1:18" ht="15.75" thickBot="1" x14ac:dyDescent="0.3">
      <c r="B140" s="55" t="str">
        <f>Fluxo_de_Caixa_Janeiro[[#This Row],[Fluxo de Caixa 2026 CTR]]</f>
        <v>3.3.09. Viagens e Estadias - CPD</v>
      </c>
      <c r="C140" s="35">
        <f>Fluxo_de_Caixa_Janeiro[[#This Row],[Janeiro]]</f>
        <v>0</v>
      </c>
      <c r="D140" s="62">
        <f>Fluxo_de_Caixa_Janeiro3[[#This Row],[Fevereiro]]</f>
        <v>0</v>
      </c>
      <c r="E140" s="62">
        <f>Fluxo_de_Caixa_Janeiro34[[#This Row],[Março]]</f>
        <v>0</v>
      </c>
      <c r="F140" s="62">
        <f>Fluxo_de_Caixa_Janeiro345[[#This Row],[ABRIL]]</f>
        <v>0</v>
      </c>
      <c r="G140" s="62">
        <f>Fluxo_de_Caixa_Janeiro3459[[#This Row],[MAIO]]</f>
        <v>0</v>
      </c>
      <c r="H140" s="62">
        <f>Fluxo_de_Caixa_Janeiro345911[[#This Row],[JUNHO]]</f>
        <v>0</v>
      </c>
      <c r="I140" s="35">
        <f>Fluxo_de_Caixa_Janeiro3459117[[#This Row],[JULHO]]</f>
        <v>0</v>
      </c>
      <c r="J140" s="62">
        <f>Fluxo_de_Caixa_Janeiro345911710[[#This Row],[AGOSTO]]</f>
        <v>0</v>
      </c>
      <c r="K140" s="62">
        <f>Fluxo_de_Caixa_Janeiro34591171012[[#This Row],[SETEMBRO]]</f>
        <v>0</v>
      </c>
      <c r="L140" s="62">
        <f>Fluxo_de_Caixa_Janeiro3459117101215[[#This Row],[OUTUBRO]]</f>
        <v>0</v>
      </c>
      <c r="M140" s="62">
        <f>Fluxo_de_Caixa_Janeiro345911710121516[[#This Row],[NOVEMBRO]]</f>
        <v>0</v>
      </c>
      <c r="N140" s="119">
        <f>Fluxo_de_Caixa_Janeiro34591171012151619[[#This Row],[DEZEMBRO]]</f>
        <v>0</v>
      </c>
      <c r="O140" s="224">
        <f>SUM(Fluxo_de_Caixa_Janeiro31020818[[#This Row],[Janeiro]:[Dezembro]])</f>
        <v>0</v>
      </c>
      <c r="P140" s="194">
        <f t="shared" si="8"/>
        <v>0</v>
      </c>
      <c r="Q140" s="194"/>
      <c r="R140" s="32" t="str">
        <f>IF(Fluxo_de_Caixa_Janeiro31020818[[#This Row],[% ACUMULADO  ANO 2026]]&lt;=Fluxo_de_Caixa_Janeiro31020818[[#This Row],[Coluna1]],"VERDADEIRO","FALSO")</f>
        <v>VERDADEIRO</v>
      </c>
    </row>
    <row r="141" spans="1:18" hidden="1" x14ac:dyDescent="0.25">
      <c r="B141" s="55">
        <f>Fluxo_de_Caixa_Janeiro[[#This Row],[Fluxo de Caixa 2026 CTR]]</f>
        <v>0</v>
      </c>
      <c r="C141" s="35">
        <f>Fluxo_de_Caixa_Janeiro[[#This Row],[Janeiro]]</f>
        <v>0</v>
      </c>
      <c r="D141" s="62">
        <f>Fluxo_de_Caixa_Janeiro3[[#This Row],[Fevereiro]]</f>
        <v>0</v>
      </c>
      <c r="E141" s="62">
        <f>Fluxo_de_Caixa_Janeiro34[[#This Row],[Março]]</f>
        <v>0</v>
      </c>
      <c r="F141" s="62">
        <f>Fluxo_de_Caixa_Janeiro345[[#This Row],[ABRIL]]</f>
        <v>0</v>
      </c>
      <c r="G141" s="62">
        <f>Fluxo_de_Caixa_Janeiro3459[[#This Row],[MAIO]]</f>
        <v>0</v>
      </c>
      <c r="H141" s="62">
        <f>Fluxo_de_Caixa_Janeiro345911[[#This Row],[JUNHO]]</f>
        <v>0</v>
      </c>
      <c r="I141" s="35">
        <f>Fluxo_de_Caixa_Janeiro3459117[[#This Row],[JULHO]]</f>
        <v>0</v>
      </c>
      <c r="J141" s="62">
        <f>Fluxo_de_Caixa_Janeiro345911710[[#This Row],[AGOSTO]]</f>
        <v>0</v>
      </c>
      <c r="K141" s="62">
        <f>Fluxo_de_Caixa_Janeiro34591171012[[#This Row],[SETEMBRO]]</f>
        <v>0</v>
      </c>
      <c r="L141" s="62">
        <f>Fluxo_de_Caixa_Janeiro3459117101215[[#This Row],[OUTUBRO]]</f>
        <v>0</v>
      </c>
      <c r="M141" s="62">
        <f>Fluxo_de_Caixa_Janeiro345911710121516[[#This Row],[NOVEMBRO]]</f>
        <v>0</v>
      </c>
      <c r="N141" s="119">
        <f>Fluxo_de_Caixa_Janeiro34591171012151619[[#This Row],[DEZEMBRO]]</f>
        <v>0</v>
      </c>
      <c r="O141" s="224">
        <f>SUM(Fluxo_de_Caixa_Janeiro31020818[[#This Row],[Janeiro]:[Dezembro]])</f>
        <v>0</v>
      </c>
      <c r="P141" s="194">
        <f t="shared" si="8"/>
        <v>0</v>
      </c>
      <c r="Q141" s="194"/>
      <c r="R141" s="32" t="str">
        <f>IF(Fluxo_de_Caixa_Janeiro31020818[[#This Row],[% ACUMULADO  ANO 2026]]&lt;=Fluxo_de_Caixa_Janeiro31020818[[#This Row],[Coluna1]],"VERDADEIRO","FALSO")</f>
        <v>VERDADEIRO</v>
      </c>
    </row>
    <row r="142" spans="1:18" hidden="1" x14ac:dyDescent="0.25">
      <c r="B142" s="55">
        <f>Fluxo_de_Caixa_Janeiro[[#This Row],[Fluxo de Caixa 2026 CTR]]</f>
        <v>0</v>
      </c>
      <c r="C142" s="35">
        <f>Fluxo_de_Caixa_Janeiro[[#This Row],[Janeiro]]</f>
        <v>0</v>
      </c>
      <c r="D142" s="62">
        <f>Fluxo_de_Caixa_Janeiro3[[#This Row],[Fevereiro]]</f>
        <v>0</v>
      </c>
      <c r="E142" s="62">
        <f>Fluxo_de_Caixa_Janeiro34[[#This Row],[Março]]</f>
        <v>0</v>
      </c>
      <c r="F142" s="62">
        <f>Fluxo_de_Caixa_Janeiro345[[#This Row],[ABRIL]]</f>
        <v>0</v>
      </c>
      <c r="G142" s="62">
        <f>Fluxo_de_Caixa_Janeiro3459[[#This Row],[MAIO]]</f>
        <v>0</v>
      </c>
      <c r="H142" s="62">
        <f>Fluxo_de_Caixa_Janeiro345911[[#This Row],[JUNHO]]</f>
        <v>0</v>
      </c>
      <c r="I142" s="35">
        <f>Fluxo_de_Caixa_Janeiro3459117[[#This Row],[JULHO]]</f>
        <v>0</v>
      </c>
      <c r="J142" s="62">
        <f>Fluxo_de_Caixa_Janeiro345911710[[#This Row],[AGOSTO]]</f>
        <v>0</v>
      </c>
      <c r="K142" s="62">
        <f>Fluxo_de_Caixa_Janeiro34591171012[[#This Row],[SETEMBRO]]</f>
        <v>0</v>
      </c>
      <c r="L142" s="62">
        <f>Fluxo_de_Caixa_Janeiro3459117101215[[#This Row],[OUTUBRO]]</f>
        <v>0</v>
      </c>
      <c r="M142" s="62">
        <f>Fluxo_de_Caixa_Janeiro345911710121516[[#This Row],[NOVEMBRO]]</f>
        <v>0</v>
      </c>
      <c r="N142" s="119">
        <f>Fluxo_de_Caixa_Janeiro34591171012151619[[#This Row],[DEZEMBRO]]</f>
        <v>0</v>
      </c>
      <c r="O142" s="224">
        <f>SUM(Fluxo_de_Caixa_Janeiro31020818[[#This Row],[Janeiro]:[Dezembro]])</f>
        <v>0</v>
      </c>
      <c r="P142" s="194">
        <f t="shared" si="8"/>
        <v>0</v>
      </c>
      <c r="Q142" s="194"/>
      <c r="R142" s="32" t="str">
        <f>IF(Fluxo_de_Caixa_Janeiro31020818[[#This Row],[% ACUMULADO  ANO 2026]]&lt;=Fluxo_de_Caixa_Janeiro31020818[[#This Row],[Coluna1]],"VERDADEIRO","FALSO")</f>
        <v>VERDADEIRO</v>
      </c>
    </row>
    <row r="143" spans="1:18" hidden="1" x14ac:dyDescent="0.25">
      <c r="B143" s="55">
        <f>Fluxo_de_Caixa_Janeiro[[#This Row],[Fluxo de Caixa 2026 CTR]]</f>
        <v>0</v>
      </c>
      <c r="C143" s="35">
        <f>Fluxo_de_Caixa_Janeiro[[#This Row],[Janeiro]]</f>
        <v>0</v>
      </c>
      <c r="D143" s="62">
        <f>Fluxo_de_Caixa_Janeiro3[[#This Row],[Fevereiro]]</f>
        <v>0</v>
      </c>
      <c r="E143" s="62">
        <f>Fluxo_de_Caixa_Janeiro34[[#This Row],[Março]]</f>
        <v>0</v>
      </c>
      <c r="F143" s="62">
        <f>Fluxo_de_Caixa_Janeiro345[[#This Row],[ABRIL]]</f>
        <v>0</v>
      </c>
      <c r="G143" s="62">
        <f>Fluxo_de_Caixa_Janeiro3459[[#This Row],[MAIO]]</f>
        <v>0</v>
      </c>
      <c r="H143" s="62">
        <f>Fluxo_de_Caixa_Janeiro345911[[#This Row],[JUNHO]]</f>
        <v>0</v>
      </c>
      <c r="I143" s="35">
        <f>Fluxo_de_Caixa_Janeiro3459117[[#This Row],[JULHO]]</f>
        <v>0</v>
      </c>
      <c r="J143" s="62">
        <f>Fluxo_de_Caixa_Janeiro345911710[[#This Row],[AGOSTO]]</f>
        <v>0</v>
      </c>
      <c r="K143" s="62">
        <f>Fluxo_de_Caixa_Janeiro34591171012[[#This Row],[SETEMBRO]]</f>
        <v>0</v>
      </c>
      <c r="L143" s="62">
        <f>Fluxo_de_Caixa_Janeiro3459117101215[[#This Row],[OUTUBRO]]</f>
        <v>0</v>
      </c>
      <c r="M143" s="62">
        <f>Fluxo_de_Caixa_Janeiro345911710121516[[#This Row],[NOVEMBRO]]</f>
        <v>0</v>
      </c>
      <c r="N143" s="119">
        <f>Fluxo_de_Caixa_Janeiro34591171012151619[[#This Row],[DEZEMBRO]]</f>
        <v>0</v>
      </c>
      <c r="O143" s="224">
        <f>SUM(Fluxo_de_Caixa_Janeiro31020818[[#This Row],[Janeiro]:[Dezembro]])</f>
        <v>0</v>
      </c>
      <c r="P143" s="194">
        <f t="shared" si="8"/>
        <v>0</v>
      </c>
      <c r="Q143" s="194"/>
      <c r="R143" s="32" t="str">
        <f>IF(Fluxo_de_Caixa_Janeiro31020818[[#This Row],[% ACUMULADO  ANO 2026]]&lt;=Fluxo_de_Caixa_Janeiro31020818[[#This Row],[Coluna1]],"VERDADEIRO","FALSO")</f>
        <v>VERDADEIRO</v>
      </c>
    </row>
    <row r="144" spans="1:18" ht="15.75" hidden="1" thickBot="1" x14ac:dyDescent="0.3">
      <c r="B144" s="55">
        <f>Fluxo_de_Caixa_Janeiro[[#This Row],[Fluxo de Caixa 2026 CTR]]</f>
        <v>0</v>
      </c>
      <c r="C144" s="35">
        <f>Fluxo_de_Caixa_Janeiro[[#This Row],[Janeiro]]</f>
        <v>0</v>
      </c>
      <c r="D144" s="62">
        <f>Fluxo_de_Caixa_Janeiro3[[#This Row],[Fevereiro]]</f>
        <v>0</v>
      </c>
      <c r="E144" s="62">
        <f>Fluxo_de_Caixa_Janeiro34[[#This Row],[Março]]</f>
        <v>0</v>
      </c>
      <c r="F144" s="62">
        <f>Fluxo_de_Caixa_Janeiro345[[#This Row],[ABRIL]]</f>
        <v>0</v>
      </c>
      <c r="G144" s="62">
        <f>Fluxo_de_Caixa_Janeiro3459[[#This Row],[MAIO]]</f>
        <v>0</v>
      </c>
      <c r="H144" s="62">
        <f>Fluxo_de_Caixa_Janeiro345911[[#This Row],[JUNHO]]</f>
        <v>0</v>
      </c>
      <c r="I144" s="35">
        <f>Fluxo_de_Caixa_Janeiro3459117[[#This Row],[JULHO]]</f>
        <v>0</v>
      </c>
      <c r="J144" s="62">
        <f>Fluxo_de_Caixa_Janeiro345911710[[#This Row],[AGOSTO]]</f>
        <v>0</v>
      </c>
      <c r="K144" s="62">
        <f>Fluxo_de_Caixa_Janeiro34591171012[[#This Row],[SETEMBRO]]</f>
        <v>0</v>
      </c>
      <c r="L144" s="62">
        <f>Fluxo_de_Caixa_Janeiro3459117101215[[#This Row],[OUTUBRO]]</f>
        <v>0</v>
      </c>
      <c r="M144" s="62">
        <f>Fluxo_de_Caixa_Janeiro345911710121516[[#This Row],[NOVEMBRO]]</f>
        <v>0</v>
      </c>
      <c r="N144" s="119">
        <f>Fluxo_de_Caixa_Janeiro34591171012151619[[#This Row],[DEZEMBRO]]</f>
        <v>0</v>
      </c>
      <c r="O144" s="224">
        <f>SUM(Fluxo_de_Caixa_Janeiro31020818[[#This Row],[Janeiro]:[Dezembro]])</f>
        <v>0</v>
      </c>
      <c r="P144" s="194">
        <f t="shared" si="8"/>
        <v>0</v>
      </c>
      <c r="Q144" s="194"/>
      <c r="R144" s="32" t="str">
        <f>IF(Fluxo_de_Caixa_Janeiro31020818[[#This Row],[% ACUMULADO  ANO 2026]]&lt;=Fluxo_de_Caixa_Janeiro31020818[[#This Row],[Coluna1]],"VERDADEIRO","FALSO")</f>
        <v>VERDADEIRO</v>
      </c>
    </row>
    <row r="145" spans="2:18" ht="19.5" thickBot="1" x14ac:dyDescent="0.35">
      <c r="B145" s="277" t="str">
        <f>Fluxo_de_Caixa_Janeiro[[#This Row],[Fluxo de Caixa 2026 CTR]]</f>
        <v>3.4. ADMINISTRATIVAS</v>
      </c>
      <c r="C145" s="158">
        <f>Fluxo_de_Caixa_Janeiro[[#This Row],[Janeiro]]</f>
        <v>-34177.839999999997</v>
      </c>
      <c r="D145" s="97">
        <f>Fluxo_de_Caixa_Janeiro3[[#This Row],[Fevereiro]]</f>
        <v>-38145.9</v>
      </c>
      <c r="E145" s="97">
        <f>Fluxo_de_Caixa_Janeiro34[[#This Row],[Março]]</f>
        <v>-38590.86</v>
      </c>
      <c r="F145" s="97">
        <f>Fluxo_de_Caixa_Janeiro345[[#This Row],[ABRIL]]</f>
        <v>-29145.360000000001</v>
      </c>
      <c r="G145" s="97">
        <f>Fluxo_de_Caixa_Janeiro3459[[#This Row],[MAIO]]</f>
        <v>-11354.189999999999</v>
      </c>
      <c r="H145" s="97">
        <f>Fluxo_de_Caixa_Janeiro345911[[#This Row],[JUNHO]]</f>
        <v>0</v>
      </c>
      <c r="I145" s="158">
        <f>Fluxo_de_Caixa_Janeiro3459117[[#This Row],[JULHO]]</f>
        <v>0</v>
      </c>
      <c r="J145" s="97">
        <f>Fluxo_de_Caixa_Janeiro345911710[[#This Row],[AGOSTO]]</f>
        <v>0</v>
      </c>
      <c r="K145" s="97">
        <f>Fluxo_de_Caixa_Janeiro34591171012[[#This Row],[SETEMBRO]]</f>
        <v>0</v>
      </c>
      <c r="L145" s="97">
        <f>Fluxo_de_Caixa_Janeiro3459117101215[[#This Row],[OUTUBRO]]</f>
        <v>0</v>
      </c>
      <c r="M145" s="97">
        <f>Fluxo_de_Caixa_Janeiro345911710121516[[#This Row],[NOVEMBRO]]</f>
        <v>0</v>
      </c>
      <c r="N145" s="129">
        <f>Fluxo_de_Caixa_Janeiro34591171012151619[[#This Row],[DEZEMBRO]]</f>
        <v>0</v>
      </c>
      <c r="O145" s="226">
        <f>SUM(Fluxo_de_Caixa_Janeiro31020818[[#This Row],[Janeiro]:[Dezembro]])</f>
        <v>-151414.15</v>
      </c>
      <c r="P145" s="144">
        <f>-IFERROR(O145/$O$27,"0,00")</f>
        <v>3.2671478517129163E-2</v>
      </c>
      <c r="Q145" s="144"/>
      <c r="R145" s="32" t="str">
        <f>IF(Fluxo_de_Caixa_Janeiro31020818[[#This Row],[% ACUMULADO  ANO 2026]]&lt;=Fluxo_de_Caixa_Janeiro31020818[[#This Row],[Coluna1]],"VERDADEIRO","FALSO")</f>
        <v>FALSO</v>
      </c>
    </row>
    <row r="146" spans="2:18" x14ac:dyDescent="0.25">
      <c r="B146" s="55" t="str">
        <f>Fluxo_de_Caixa_Janeiro[[#This Row],[Fluxo de Caixa 2026 CTR]]</f>
        <v>3.4.01. Supermercado/Padaria/Farmácia</v>
      </c>
      <c r="C146" s="35">
        <f>Fluxo_de_Caixa_Janeiro[[#This Row],[Janeiro]]</f>
        <v>1344.42</v>
      </c>
      <c r="D146" s="62">
        <f>Fluxo_de_Caixa_Janeiro3[[#This Row],[Fevereiro]]</f>
        <v>1995.03</v>
      </c>
      <c r="E146" s="62">
        <f>Fluxo_de_Caixa_Janeiro34[[#This Row],[Março]]</f>
        <v>2834.3500000000004</v>
      </c>
      <c r="F146" s="62">
        <f>Fluxo_de_Caixa_Janeiro345[[#This Row],[ABRIL]]</f>
        <v>1427.26</v>
      </c>
      <c r="G146" s="62">
        <f>Fluxo_de_Caixa_Janeiro3459[[#This Row],[MAIO]]</f>
        <v>2175.3900000000003</v>
      </c>
      <c r="H146" s="62">
        <f>Fluxo_de_Caixa_Janeiro345911[[#This Row],[JUNHO]]</f>
        <v>0</v>
      </c>
      <c r="I146" s="35">
        <f>Fluxo_de_Caixa_Janeiro3459117[[#This Row],[JULHO]]</f>
        <v>0</v>
      </c>
      <c r="J146" s="62">
        <f>Fluxo_de_Caixa_Janeiro345911710[[#This Row],[AGOSTO]]</f>
        <v>0</v>
      </c>
      <c r="K146" s="406">
        <f>Fluxo_de_Caixa_Janeiro34591171012[[#This Row],[SETEMBRO]]</f>
        <v>0</v>
      </c>
      <c r="L146" s="406">
        <f>Fluxo_de_Caixa_Janeiro3459117101215[[#This Row],[OUTUBRO]]</f>
        <v>0</v>
      </c>
      <c r="M146" s="62">
        <f>Fluxo_de_Caixa_Janeiro345911710121516[[#This Row],[NOVEMBRO]]</f>
        <v>0</v>
      </c>
      <c r="N146" s="119">
        <f>Fluxo_de_Caixa_Janeiro34591171012151619[[#This Row],[DEZEMBRO]]</f>
        <v>0</v>
      </c>
      <c r="O146" s="224">
        <f>SUM(Fluxo_de_Caixa_Janeiro31020818[[#This Row],[Janeiro]:[Dezembro]])</f>
        <v>9776.4500000000007</v>
      </c>
      <c r="P146" s="194">
        <f t="shared" ref="P146:P166" si="9">IFERROR(O146/$O$27,"0,00%")</f>
        <v>2.1095193292620766E-3</v>
      </c>
      <c r="Q146" s="194"/>
      <c r="R146" s="32" t="str">
        <f>IF(Fluxo_de_Caixa_Janeiro31020818[[#This Row],[% ACUMULADO  ANO 2026]]&lt;=Fluxo_de_Caixa_Janeiro31020818[[#This Row],[Coluna1]],"VERDADEIRO","FALSO")</f>
        <v>FALSO</v>
      </c>
    </row>
    <row r="147" spans="2:18" x14ac:dyDescent="0.25">
      <c r="B147" s="55" t="str">
        <f>Fluxo_de_Caixa_Janeiro[[#This Row],[Fluxo de Caixa 2026 CTR]]</f>
        <v>3.4.02. Material Administrativo de Expediente</v>
      </c>
      <c r="C147" s="35">
        <f>Fluxo_de_Caixa_Janeiro[[#This Row],[Janeiro]]</f>
        <v>2000.05</v>
      </c>
      <c r="D147" s="62">
        <f>Fluxo_de_Caixa_Janeiro3[[#This Row],[Fevereiro]]</f>
        <v>499.11</v>
      </c>
      <c r="E147" s="62">
        <f>Fluxo_de_Caixa_Janeiro34[[#This Row],[Março]]</f>
        <v>1223.24</v>
      </c>
      <c r="F147" s="62">
        <f>Fluxo_de_Caixa_Janeiro345[[#This Row],[ABRIL]]</f>
        <v>1836.15</v>
      </c>
      <c r="G147" s="62">
        <f>Fluxo_de_Caixa_Janeiro3459[[#This Row],[MAIO]]</f>
        <v>412.99</v>
      </c>
      <c r="H147" s="407">
        <f>Fluxo_de_Caixa_Janeiro345911[[#This Row],[JUNHO]]</f>
        <v>0</v>
      </c>
      <c r="I147" s="645">
        <f>Fluxo_de_Caixa_Janeiro3459117[[#This Row],[JULHO]]</f>
        <v>0</v>
      </c>
      <c r="J147" s="62">
        <f>Fluxo_de_Caixa_Janeiro345911710[[#This Row],[AGOSTO]]</f>
        <v>0</v>
      </c>
      <c r="K147" s="62">
        <f>Fluxo_de_Caixa_Janeiro34591171012[[#This Row],[SETEMBRO]]</f>
        <v>0</v>
      </c>
      <c r="L147" s="62">
        <f>Fluxo_de_Caixa_Janeiro3459117101215[[#This Row],[OUTUBRO]]</f>
        <v>0</v>
      </c>
      <c r="M147" s="62">
        <f>Fluxo_de_Caixa_Janeiro345911710121516[[#This Row],[NOVEMBRO]]</f>
        <v>0</v>
      </c>
      <c r="N147" s="119">
        <f>Fluxo_de_Caixa_Janeiro34591171012151619[[#This Row],[DEZEMBRO]]</f>
        <v>0</v>
      </c>
      <c r="O147" s="224">
        <f>SUM(Fluxo_de_Caixa_Janeiro31020818[[#This Row],[Janeiro]:[Dezembro]])</f>
        <v>5971.5399999999991</v>
      </c>
      <c r="P147" s="194">
        <f t="shared" si="9"/>
        <v>1.288512604827075E-3</v>
      </c>
      <c r="Q147" s="194"/>
      <c r="R147" s="32" t="str">
        <f>IF(Fluxo_de_Caixa_Janeiro31020818[[#This Row],[% ACUMULADO  ANO 2026]]&lt;=Fluxo_de_Caixa_Janeiro31020818[[#This Row],[Coluna1]],"VERDADEIRO","FALSO")</f>
        <v>FALSO</v>
      </c>
    </row>
    <row r="148" spans="2:18" x14ac:dyDescent="0.25">
      <c r="B148" s="55" t="str">
        <f>Fluxo_de_Caixa_Janeiro[[#This Row],[Fluxo de Caixa 2026 CTR]]</f>
        <v>3.4.03. Correios/Gollog/Latam Cargas</v>
      </c>
      <c r="C148" s="35">
        <f>Fluxo_de_Caixa_Janeiro[[#This Row],[Janeiro]]</f>
        <v>0</v>
      </c>
      <c r="D148" s="62">
        <f>Fluxo_de_Caixa_Janeiro3[[#This Row],[Fevereiro]]</f>
        <v>0</v>
      </c>
      <c r="E148" s="62">
        <f>Fluxo_de_Caixa_Janeiro34[[#This Row],[Março]]</f>
        <v>0</v>
      </c>
      <c r="F148" s="62">
        <f>Fluxo_de_Caixa_Janeiro345[[#This Row],[ABRIL]]</f>
        <v>0</v>
      </c>
      <c r="G148" s="62">
        <f>Fluxo_de_Caixa_Janeiro3459[[#This Row],[MAIO]]</f>
        <v>0</v>
      </c>
      <c r="H148" s="62">
        <f>Fluxo_de_Caixa_Janeiro345911[[#This Row],[JUNHO]]</f>
        <v>0</v>
      </c>
      <c r="I148" s="35">
        <f>Fluxo_de_Caixa_Janeiro3459117[[#This Row],[JULHO]]</f>
        <v>0</v>
      </c>
      <c r="J148" s="62">
        <f>Fluxo_de_Caixa_Janeiro345911710[[#This Row],[AGOSTO]]</f>
        <v>0</v>
      </c>
      <c r="K148" s="62">
        <f>Fluxo_de_Caixa_Janeiro34591171012[[#This Row],[SETEMBRO]]</f>
        <v>0</v>
      </c>
      <c r="L148" s="62">
        <f>Fluxo_de_Caixa_Janeiro3459117101215[[#This Row],[OUTUBRO]]</f>
        <v>0</v>
      </c>
      <c r="M148" s="62">
        <f>Fluxo_de_Caixa_Janeiro345911710121516[[#This Row],[NOVEMBRO]]</f>
        <v>0</v>
      </c>
      <c r="N148" s="119">
        <f>Fluxo_de_Caixa_Janeiro34591171012151619[[#This Row],[DEZEMBRO]]</f>
        <v>0</v>
      </c>
      <c r="O148" s="224">
        <f>SUM(Fluxo_de_Caixa_Janeiro31020818[[#This Row],[Janeiro]:[Dezembro]])</f>
        <v>0</v>
      </c>
      <c r="P148" s="194">
        <f t="shared" si="9"/>
        <v>0</v>
      </c>
      <c r="Q148" s="194"/>
      <c r="R148" s="32" t="str">
        <f>IF(Fluxo_de_Caixa_Janeiro31020818[[#This Row],[% ACUMULADO  ANO 2026]]&lt;=Fluxo_de_Caixa_Janeiro31020818[[#This Row],[Coluna1]],"VERDADEIRO","FALSO")</f>
        <v>VERDADEIRO</v>
      </c>
    </row>
    <row r="149" spans="2:18" x14ac:dyDescent="0.25">
      <c r="B149" s="55" t="str">
        <f>Fluxo_de_Caixa_Janeiro[[#This Row],[Fluxo de Caixa 2026 CTR]]</f>
        <v>3.4.04. Cartório</v>
      </c>
      <c r="C149" s="35">
        <f>Fluxo_de_Caixa_Janeiro[[#This Row],[Janeiro]]</f>
        <v>0</v>
      </c>
      <c r="D149" s="62">
        <f>Fluxo_de_Caixa_Janeiro3[[#This Row],[Fevereiro]]</f>
        <v>0</v>
      </c>
      <c r="E149" s="62">
        <f>Fluxo_de_Caixa_Janeiro34[[#This Row],[Março]]</f>
        <v>2965.82</v>
      </c>
      <c r="F149" s="62">
        <f>Fluxo_de_Caixa_Janeiro345[[#This Row],[ABRIL]]</f>
        <v>0</v>
      </c>
      <c r="G149" s="62">
        <f>Fluxo_de_Caixa_Janeiro3459[[#This Row],[MAIO]]</f>
        <v>92.62</v>
      </c>
      <c r="H149" s="62">
        <f>Fluxo_de_Caixa_Janeiro345911[[#This Row],[JUNHO]]</f>
        <v>0</v>
      </c>
      <c r="I149" s="35">
        <f>Fluxo_de_Caixa_Janeiro3459117[[#This Row],[JULHO]]</f>
        <v>0</v>
      </c>
      <c r="J149" s="62">
        <f>Fluxo_de_Caixa_Janeiro345911710[[#This Row],[AGOSTO]]</f>
        <v>0</v>
      </c>
      <c r="K149" s="62">
        <f>Fluxo_de_Caixa_Janeiro34591171012[[#This Row],[SETEMBRO]]</f>
        <v>0</v>
      </c>
      <c r="L149" s="62">
        <f>Fluxo_de_Caixa_Janeiro3459117101215[[#This Row],[OUTUBRO]]</f>
        <v>0</v>
      </c>
      <c r="M149" s="62">
        <f>Fluxo_de_Caixa_Janeiro345911710121516[[#This Row],[NOVEMBRO]]</f>
        <v>0</v>
      </c>
      <c r="N149" s="119">
        <f>Fluxo_de_Caixa_Janeiro34591171012151619[[#This Row],[DEZEMBRO]]</f>
        <v>0</v>
      </c>
      <c r="O149" s="224">
        <f>SUM(Fluxo_de_Caixa_Janeiro31020818[[#This Row],[Janeiro]:[Dezembro]])</f>
        <v>3058.44</v>
      </c>
      <c r="P149" s="194">
        <f t="shared" si="9"/>
        <v>6.5993671500271629E-4</v>
      </c>
      <c r="Q149" s="194"/>
      <c r="R149" s="32" t="str">
        <f>IF(Fluxo_de_Caixa_Janeiro31020818[[#This Row],[% ACUMULADO  ANO 2026]]&lt;=Fluxo_de_Caixa_Janeiro31020818[[#This Row],[Coluna1]],"VERDADEIRO","FALSO")</f>
        <v>FALSO</v>
      </c>
    </row>
    <row r="150" spans="2:18" hidden="1" x14ac:dyDescent="0.25">
      <c r="B150" s="55">
        <f>Fluxo_de_Caixa_Janeiro[[#This Row],[Fluxo de Caixa 2026 CTR]]</f>
        <v>0</v>
      </c>
      <c r="C150" s="35">
        <f>Fluxo_de_Caixa_Janeiro[[#This Row],[Janeiro]]</f>
        <v>0</v>
      </c>
      <c r="D150" s="62">
        <f>Fluxo_de_Caixa_Janeiro3[[#This Row],[Fevereiro]]</f>
        <v>0</v>
      </c>
      <c r="E150" s="62">
        <f>Fluxo_de_Caixa_Janeiro34[[#This Row],[Março]]</f>
        <v>0</v>
      </c>
      <c r="F150" s="62">
        <f>Fluxo_de_Caixa_Janeiro345[[#This Row],[ABRIL]]</f>
        <v>441.4</v>
      </c>
      <c r="G150" s="62">
        <f>Fluxo_de_Caixa_Janeiro3459[[#This Row],[MAIO]]</f>
        <v>0</v>
      </c>
      <c r="H150" s="62">
        <f>Fluxo_de_Caixa_Janeiro345911[[#This Row],[JUNHO]]</f>
        <v>0</v>
      </c>
      <c r="I150" s="35">
        <f>Fluxo_de_Caixa_Janeiro3459117[[#This Row],[JULHO]]</f>
        <v>0</v>
      </c>
      <c r="J150" s="62">
        <f>Fluxo_de_Caixa_Janeiro345911710[[#This Row],[AGOSTO]]</f>
        <v>0</v>
      </c>
      <c r="K150" s="62">
        <f>Fluxo_de_Caixa_Janeiro34591171012[[#This Row],[SETEMBRO]]</f>
        <v>0</v>
      </c>
      <c r="L150" s="62">
        <f>Fluxo_de_Caixa_Janeiro3459117101215[[#This Row],[OUTUBRO]]</f>
        <v>0</v>
      </c>
      <c r="M150" s="62">
        <f>Fluxo_de_Caixa_Janeiro345911710121516[[#This Row],[NOVEMBRO]]</f>
        <v>0</v>
      </c>
      <c r="N150" s="119">
        <f>Fluxo_de_Caixa_Janeiro34591171012151619[[#This Row],[DEZEMBRO]]</f>
        <v>0</v>
      </c>
      <c r="O150" s="224">
        <f>SUM(Fluxo_de_Caixa_Janeiro31020818[[#This Row],[Janeiro]:[Dezembro]])</f>
        <v>441.4</v>
      </c>
      <c r="P150" s="194">
        <f t="shared" si="9"/>
        <v>9.524334824361405E-5</v>
      </c>
      <c r="Q150" s="194"/>
      <c r="R150" s="32" t="str">
        <f>IF(Fluxo_de_Caixa_Janeiro31020818[[#This Row],[% ACUMULADO  ANO 2026]]&lt;=Fluxo_de_Caixa_Janeiro31020818[[#This Row],[Coluna1]],"VERDADEIRO","FALSO")</f>
        <v>FALSO</v>
      </c>
    </row>
    <row r="151" spans="2:18" x14ac:dyDescent="0.25">
      <c r="B151" s="55" t="str">
        <f>Fluxo_de_Caixa_Janeiro[[#This Row],[Fluxo de Caixa 2026 CTR]]</f>
        <v>3.4.06. Manutenção/ reforma/ reparos</v>
      </c>
      <c r="C151" s="35">
        <f>Fluxo_de_Caixa_Janeiro[[#This Row],[Janeiro]]</f>
        <v>0</v>
      </c>
      <c r="D151" s="62">
        <f>Fluxo_de_Caixa_Janeiro3[[#This Row],[Fevereiro]]</f>
        <v>2453.31</v>
      </c>
      <c r="E151" s="62">
        <f>Fluxo_de_Caixa_Janeiro34[[#This Row],[Março]]</f>
        <v>936.04</v>
      </c>
      <c r="F151" s="407">
        <f>Fluxo_de_Caixa_Janeiro345[[#This Row],[ABRIL]]</f>
        <v>738.8</v>
      </c>
      <c r="G151" s="62">
        <f>Fluxo_de_Caixa_Janeiro3459[[#This Row],[MAIO]]</f>
        <v>4490</v>
      </c>
      <c r="H151" s="62">
        <f>Fluxo_de_Caixa_Janeiro345911[[#This Row],[JUNHO]]</f>
        <v>0</v>
      </c>
      <c r="I151" s="35">
        <f>Fluxo_de_Caixa_Janeiro3459117[[#This Row],[JULHO]]</f>
        <v>0</v>
      </c>
      <c r="J151" s="62">
        <f>Fluxo_de_Caixa_Janeiro345911710[[#This Row],[AGOSTO]]</f>
        <v>0</v>
      </c>
      <c r="K151" s="62">
        <f>Fluxo_de_Caixa_Janeiro34591171012[[#This Row],[SETEMBRO]]</f>
        <v>0</v>
      </c>
      <c r="L151" s="62">
        <f>Fluxo_de_Caixa_Janeiro3459117101215[[#This Row],[OUTUBRO]]</f>
        <v>0</v>
      </c>
      <c r="M151" s="62">
        <f>Fluxo_de_Caixa_Janeiro345911710121516[[#This Row],[NOVEMBRO]]</f>
        <v>0</v>
      </c>
      <c r="N151" s="119">
        <f>Fluxo_de_Caixa_Janeiro34591171012151619[[#This Row],[DEZEMBRO]]</f>
        <v>0</v>
      </c>
      <c r="O151" s="224">
        <f>SUM(Fluxo_de_Caixa_Janeiro31020818[[#This Row],[Janeiro]:[Dezembro]])</f>
        <v>8618.15</v>
      </c>
      <c r="P151" s="194">
        <f t="shared" si="9"/>
        <v>1.8595864559712333E-3</v>
      </c>
      <c r="Q151" s="194"/>
      <c r="R151" s="32" t="str">
        <f>IF(Fluxo_de_Caixa_Janeiro31020818[[#This Row],[% ACUMULADO  ANO 2026]]&lt;=Fluxo_de_Caixa_Janeiro31020818[[#This Row],[Coluna1]],"VERDADEIRO","FALSO")</f>
        <v>FALSO</v>
      </c>
    </row>
    <row r="152" spans="2:18" x14ac:dyDescent="0.25">
      <c r="B152" s="55" t="str">
        <f>Fluxo_de_Caixa_Janeiro[[#This Row],[Fluxo de Caixa 2026 CTR]]</f>
        <v>3.4.07. Diária de Prestador de Serviço</v>
      </c>
      <c r="C152" s="35">
        <f>Fluxo_de_Caixa_Janeiro[[#This Row],[Janeiro]]</f>
        <v>1450</v>
      </c>
      <c r="D152" s="62">
        <f>Fluxo_de_Caixa_Janeiro3[[#This Row],[Fevereiro]]</f>
        <v>2000</v>
      </c>
      <c r="E152" s="62">
        <f>Fluxo_de_Caixa_Janeiro34[[#This Row],[Março]]</f>
        <v>1470</v>
      </c>
      <c r="F152" s="62">
        <f>Fluxo_de_Caixa_Janeiro345[[#This Row],[ABRIL]]</f>
        <v>2465</v>
      </c>
      <c r="G152" s="62">
        <f>Fluxo_de_Caixa_Janeiro3459[[#This Row],[MAIO]]</f>
        <v>1500</v>
      </c>
      <c r="H152" s="62">
        <f>Fluxo_de_Caixa_Janeiro345911[[#This Row],[JUNHO]]</f>
        <v>0</v>
      </c>
      <c r="I152" s="35">
        <f>Fluxo_de_Caixa_Janeiro3459117[[#This Row],[JULHO]]</f>
        <v>0</v>
      </c>
      <c r="J152" s="62">
        <f>Fluxo_de_Caixa_Janeiro345911710[[#This Row],[AGOSTO]]</f>
        <v>0</v>
      </c>
      <c r="K152" s="62">
        <f>Fluxo_de_Caixa_Janeiro34591171012[[#This Row],[SETEMBRO]]</f>
        <v>0</v>
      </c>
      <c r="L152" s="62">
        <f>Fluxo_de_Caixa_Janeiro3459117101215[[#This Row],[OUTUBRO]]</f>
        <v>0</v>
      </c>
      <c r="M152" s="62">
        <f>Fluxo_de_Caixa_Janeiro345911710121516[[#This Row],[NOVEMBRO]]</f>
        <v>0</v>
      </c>
      <c r="N152" s="119">
        <f>Fluxo_de_Caixa_Janeiro34591171012151619[[#This Row],[DEZEMBRO]]</f>
        <v>0</v>
      </c>
      <c r="O152" s="224">
        <f>SUM(Fluxo_de_Caixa_Janeiro31020818[[#This Row],[Janeiro]:[Dezembro]])</f>
        <v>8885</v>
      </c>
      <c r="P152" s="194">
        <f t="shared" si="9"/>
        <v>1.9171661738661323E-3</v>
      </c>
      <c r="Q152" s="194"/>
      <c r="R152" s="32" t="str">
        <f>IF(Fluxo_de_Caixa_Janeiro31020818[[#This Row],[% ACUMULADO  ANO 2026]]&lt;=Fluxo_de_Caixa_Janeiro31020818[[#This Row],[Coluna1]],"VERDADEIRO","FALSO")</f>
        <v>FALSO</v>
      </c>
    </row>
    <row r="153" spans="2:18" x14ac:dyDescent="0.25">
      <c r="B153" s="169" t="str">
        <f>Fluxo_de_Caixa_Janeiro[[#This Row],[Fluxo de Caixa 2026 CTR]]</f>
        <v>3.4.08. Consultoria (RH/Empresarial/Contábil/Etc)</v>
      </c>
      <c r="C153" s="41">
        <f>Fluxo_de_Caixa_Janeiro[[#This Row],[Janeiro]]</f>
        <v>245</v>
      </c>
      <c r="D153" s="81">
        <f>Fluxo_de_Caixa_Janeiro3[[#This Row],[Fevereiro]]</f>
        <v>0</v>
      </c>
      <c r="E153" s="81">
        <f>Fluxo_de_Caixa_Janeiro34[[#This Row],[Março]]</f>
        <v>3192</v>
      </c>
      <c r="F153" s="81">
        <f>Fluxo_de_Caixa_Janeiro345[[#This Row],[ABRIL]]</f>
        <v>2600</v>
      </c>
      <c r="G153" s="81">
        <f>Fluxo_de_Caixa_Janeiro3459[[#This Row],[MAIO]]</f>
        <v>1250</v>
      </c>
      <c r="H153" s="81">
        <f>Fluxo_de_Caixa_Janeiro345911[[#This Row],[JUNHO]]</f>
        <v>0</v>
      </c>
      <c r="I153" s="41">
        <f>Fluxo_de_Caixa_Janeiro3459117[[#This Row],[JULHO]]</f>
        <v>0</v>
      </c>
      <c r="J153" s="81">
        <f>Fluxo_de_Caixa_Janeiro345911710[[#This Row],[AGOSTO]]</f>
        <v>0</v>
      </c>
      <c r="K153" s="81">
        <f>Fluxo_de_Caixa_Janeiro34591171012[[#This Row],[SETEMBRO]]</f>
        <v>0</v>
      </c>
      <c r="L153" s="81">
        <f>Fluxo_de_Caixa_Janeiro3459117101215[[#This Row],[OUTUBRO]]</f>
        <v>0</v>
      </c>
      <c r="M153" s="81">
        <f>Fluxo_de_Caixa_Janeiro345911710121516[[#This Row],[NOVEMBRO]]</f>
        <v>0</v>
      </c>
      <c r="N153" s="118">
        <f>Fluxo_de_Caixa_Janeiro34591171012151619[[#This Row],[DEZEMBRO]]</f>
        <v>0</v>
      </c>
      <c r="O153" s="223">
        <f>SUM(Fluxo_de_Caixa_Janeiro31020818[[#This Row],[Janeiro]:[Dezembro]])</f>
        <v>7287</v>
      </c>
      <c r="P153" s="193">
        <f t="shared" si="9"/>
        <v>1.572356770845527E-3</v>
      </c>
      <c r="Q153" s="193"/>
      <c r="R153" s="32" t="str">
        <f>IF(Fluxo_de_Caixa_Janeiro31020818[[#This Row],[% ACUMULADO  ANO 2026]]&lt;=Fluxo_de_Caixa_Janeiro31020818[[#This Row],[Coluna1]],"VERDADEIRO","FALSO")</f>
        <v>FALSO</v>
      </c>
    </row>
    <row r="154" spans="2:18" x14ac:dyDescent="0.25">
      <c r="B154" s="55" t="str">
        <f>Fluxo_de_Caixa_Janeiro[[#This Row],[Fluxo de Caixa 2026 CTR]]</f>
        <v>3.4.09. Honorarios Advogado</v>
      </c>
      <c r="C154" s="35">
        <f>Fluxo_de_Caixa_Janeiro[[#This Row],[Janeiro]]</f>
        <v>0</v>
      </c>
      <c r="D154" s="62">
        <f>Fluxo_de_Caixa_Janeiro3[[#This Row],[Fevereiro]]</f>
        <v>6415.01</v>
      </c>
      <c r="E154" s="62">
        <f>Fluxo_de_Caixa_Janeiro34[[#This Row],[Março]]</f>
        <v>5642</v>
      </c>
      <c r="F154" s="62">
        <f>Fluxo_de_Caixa_Janeiro345[[#This Row],[ABRIL]]</f>
        <v>5642</v>
      </c>
      <c r="G154" s="62">
        <f>Fluxo_de_Caixa_Janeiro3459[[#This Row],[MAIO]]</f>
        <v>5642</v>
      </c>
      <c r="H154" s="62">
        <f>Fluxo_de_Caixa_Janeiro345911[[#This Row],[JUNHO]]</f>
        <v>0</v>
      </c>
      <c r="I154" s="35">
        <f>Fluxo_de_Caixa_Janeiro3459117[[#This Row],[JULHO]]</f>
        <v>0</v>
      </c>
      <c r="J154" s="62">
        <f>Fluxo_de_Caixa_Janeiro345911710[[#This Row],[AGOSTO]]</f>
        <v>0</v>
      </c>
      <c r="K154" s="62">
        <f>Fluxo_de_Caixa_Janeiro34591171012[[#This Row],[SETEMBRO]]</f>
        <v>0</v>
      </c>
      <c r="L154" s="62">
        <f>Fluxo_de_Caixa_Janeiro3459117101215[[#This Row],[OUTUBRO]]</f>
        <v>0</v>
      </c>
      <c r="M154" s="62">
        <f>Fluxo_de_Caixa_Janeiro345911710121516[[#This Row],[NOVEMBRO]]</f>
        <v>0</v>
      </c>
      <c r="N154" s="119">
        <f>Fluxo_de_Caixa_Janeiro34591171012151619[[#This Row],[DEZEMBRO]]</f>
        <v>0</v>
      </c>
      <c r="O154" s="224">
        <f>SUM(Fluxo_de_Caixa_Janeiro31020818[[#This Row],[Janeiro]:[Dezembro]])</f>
        <v>23341.010000000002</v>
      </c>
      <c r="P154" s="194">
        <f t="shared" si="9"/>
        <v>5.0364203529399141E-3</v>
      </c>
      <c r="Q154" s="194"/>
      <c r="R154" s="32" t="str">
        <f>IF(Fluxo_de_Caixa_Janeiro31020818[[#This Row],[% ACUMULADO  ANO 2026]]&lt;=Fluxo_de_Caixa_Janeiro31020818[[#This Row],[Coluna1]],"VERDADEIRO","FALSO")</f>
        <v>FALSO</v>
      </c>
    </row>
    <row r="155" spans="2:18" x14ac:dyDescent="0.25">
      <c r="B155" s="55" t="str">
        <f>Fluxo_de_Caixa_Janeiro[[#This Row],[Fluxo de Caixa 2026 CTR]]</f>
        <v>3.4.10. Taxas Administrativas (Alvará de Funcio, taxas)</v>
      </c>
      <c r="C155" s="35">
        <f>Fluxo_de_Caixa_Janeiro[[#This Row],[Janeiro]]</f>
        <v>1618.05</v>
      </c>
      <c r="D155" s="62">
        <f>Fluxo_de_Caixa_Janeiro3[[#This Row],[Fevereiro]]</f>
        <v>0</v>
      </c>
      <c r="E155" s="62">
        <f>Fluxo_de_Caixa_Janeiro34[[#This Row],[Março]]</f>
        <v>734</v>
      </c>
      <c r="F155" s="62">
        <f>Fluxo_de_Caixa_Janeiro345[[#This Row],[ABRIL]]</f>
        <v>88.64</v>
      </c>
      <c r="G155" s="62">
        <f>Fluxo_de_Caixa_Janeiro3459[[#This Row],[MAIO]]</f>
        <v>1974.21</v>
      </c>
      <c r="H155" s="62">
        <f>Fluxo_de_Caixa_Janeiro345911[[#This Row],[JUNHO]]</f>
        <v>0</v>
      </c>
      <c r="I155" s="35">
        <f>Fluxo_de_Caixa_Janeiro3459117[[#This Row],[JULHO]]</f>
        <v>0</v>
      </c>
      <c r="J155" s="62">
        <f>Fluxo_de_Caixa_Janeiro345911710[[#This Row],[AGOSTO]]</f>
        <v>0</v>
      </c>
      <c r="K155" s="62">
        <f>Fluxo_de_Caixa_Janeiro34591171012[[#This Row],[SETEMBRO]]</f>
        <v>0</v>
      </c>
      <c r="L155" s="62">
        <f>Fluxo_de_Caixa_Janeiro3459117101215[[#This Row],[OUTUBRO]]</f>
        <v>0</v>
      </c>
      <c r="M155" s="62">
        <f>Fluxo_de_Caixa_Janeiro345911710121516[[#This Row],[NOVEMBRO]]</f>
        <v>0</v>
      </c>
      <c r="N155" s="119">
        <f>Fluxo_de_Caixa_Janeiro34591171012151619[[#This Row],[DEZEMBRO]]</f>
        <v>0</v>
      </c>
      <c r="O155" s="224">
        <f>SUM(Fluxo_de_Caixa_Janeiro31020818[[#This Row],[Janeiro]:[Dezembro]])</f>
        <v>4414.8999999999996</v>
      </c>
      <c r="P155" s="194">
        <f t="shared" si="9"/>
        <v>9.5262768047288545E-4</v>
      </c>
      <c r="Q155" s="194"/>
      <c r="R155" s="32" t="str">
        <f>IF(Fluxo_de_Caixa_Janeiro31020818[[#This Row],[% ACUMULADO  ANO 2026]]&lt;=Fluxo_de_Caixa_Janeiro31020818[[#This Row],[Coluna1]],"VERDADEIRO","FALSO")</f>
        <v>FALSO</v>
      </c>
    </row>
    <row r="156" spans="2:18" x14ac:dyDescent="0.25">
      <c r="B156" s="55" t="str">
        <f>Fluxo_de_Caixa_Janeiro[[#This Row],[Fluxo de Caixa 2026 CTR]]</f>
        <v>3.4.11. Despesa com Processos Judiciais</v>
      </c>
      <c r="C156" s="35">
        <f>Fluxo_de_Caixa_Janeiro[[#This Row],[Janeiro]]</f>
        <v>0</v>
      </c>
      <c r="D156" s="62">
        <f>Fluxo_de_Caixa_Janeiro3[[#This Row],[Fevereiro]]</f>
        <v>0</v>
      </c>
      <c r="E156" s="62">
        <f>Fluxo_de_Caixa_Janeiro34[[#This Row],[Março]]</f>
        <v>0</v>
      </c>
      <c r="F156" s="62">
        <f>Fluxo_de_Caixa_Janeiro345[[#This Row],[ABRIL]]</f>
        <v>0</v>
      </c>
      <c r="G156" s="62">
        <f>Fluxo_de_Caixa_Janeiro3459[[#This Row],[MAIO]]</f>
        <v>155.38999999999999</v>
      </c>
      <c r="H156" s="62">
        <f>Fluxo_de_Caixa_Janeiro345911[[#This Row],[JUNHO]]</f>
        <v>0</v>
      </c>
      <c r="I156" s="35">
        <f>Fluxo_de_Caixa_Janeiro3459117[[#This Row],[JULHO]]</f>
        <v>0</v>
      </c>
      <c r="J156" s="62">
        <f>Fluxo_de_Caixa_Janeiro345911710[[#This Row],[AGOSTO]]</f>
        <v>0</v>
      </c>
      <c r="K156" s="62">
        <f>Fluxo_de_Caixa_Janeiro34591171012[[#This Row],[SETEMBRO]]</f>
        <v>0</v>
      </c>
      <c r="L156" s="62">
        <f>Fluxo_de_Caixa_Janeiro3459117101215[[#This Row],[OUTUBRO]]</f>
        <v>0</v>
      </c>
      <c r="M156" s="62">
        <f>Fluxo_de_Caixa_Janeiro345911710121516[[#This Row],[NOVEMBRO]]</f>
        <v>0</v>
      </c>
      <c r="N156" s="119">
        <f>Fluxo_de_Caixa_Janeiro34591171012151619[[#This Row],[DEZEMBRO]]</f>
        <v>0</v>
      </c>
      <c r="O156" s="224">
        <f>SUM(Fluxo_de_Caixa_Janeiro31020818[[#This Row],[Janeiro]:[Dezembro]])</f>
        <v>155.38999999999999</v>
      </c>
      <c r="P156" s="194">
        <f t="shared" si="9"/>
        <v>3.3529369922009939E-5</v>
      </c>
      <c r="Q156" s="194"/>
      <c r="R156" s="32" t="str">
        <f>IF(Fluxo_de_Caixa_Janeiro31020818[[#This Row],[% ACUMULADO  ANO 2026]]&lt;=Fluxo_de_Caixa_Janeiro31020818[[#This Row],[Coluna1]],"VERDADEIRO","FALSO")</f>
        <v>FALSO</v>
      </c>
    </row>
    <row r="157" spans="2:18" x14ac:dyDescent="0.25">
      <c r="B157" s="55" t="str">
        <f>Fluxo_de_Caixa_Janeiro[[#This Row],[Fluxo de Caixa 2026 CTR]]</f>
        <v xml:space="preserve">3.4.12. Equipe de Cobrança </v>
      </c>
      <c r="C157" s="35">
        <f>Fluxo_de_Caixa_Janeiro[[#This Row],[Janeiro]]</f>
        <v>0</v>
      </c>
      <c r="D157" s="62">
        <f>Fluxo_de_Caixa_Janeiro3[[#This Row],[Fevereiro]]</f>
        <v>0</v>
      </c>
      <c r="E157" s="62">
        <f>Fluxo_de_Caixa_Janeiro34[[#This Row],[Março]]</f>
        <v>0</v>
      </c>
      <c r="F157" s="62">
        <f>Fluxo_de_Caixa_Janeiro345[[#This Row],[ABRIL]]</f>
        <v>0</v>
      </c>
      <c r="G157" s="62">
        <f>Fluxo_de_Caixa_Janeiro3459[[#This Row],[MAIO]]</f>
        <v>0</v>
      </c>
      <c r="H157" s="62">
        <f>Fluxo_de_Caixa_Janeiro345911[[#This Row],[JUNHO]]</f>
        <v>0</v>
      </c>
      <c r="I157" s="35">
        <f>Fluxo_de_Caixa_Janeiro3459117[[#This Row],[JULHO]]</f>
        <v>0</v>
      </c>
      <c r="J157" s="62">
        <f>Fluxo_de_Caixa_Janeiro345911710[[#This Row],[AGOSTO]]</f>
        <v>0</v>
      </c>
      <c r="K157" s="62">
        <f>Fluxo_de_Caixa_Janeiro34591171012[[#This Row],[SETEMBRO]]</f>
        <v>0</v>
      </c>
      <c r="L157" s="62">
        <f>Fluxo_de_Caixa_Janeiro3459117101215[[#This Row],[OUTUBRO]]</f>
        <v>0</v>
      </c>
      <c r="M157" s="62">
        <f>Fluxo_de_Caixa_Janeiro345911710121516[[#This Row],[NOVEMBRO]]</f>
        <v>0</v>
      </c>
      <c r="N157" s="119">
        <f>Fluxo_de_Caixa_Janeiro34591171012151619[[#This Row],[DEZEMBRO]]</f>
        <v>0</v>
      </c>
      <c r="O157" s="224">
        <f>SUM(Fluxo_de_Caixa_Janeiro31020818[[#This Row],[Janeiro]:[Dezembro]])</f>
        <v>0</v>
      </c>
      <c r="P157" s="194">
        <f t="shared" si="9"/>
        <v>0</v>
      </c>
      <c r="Q157" s="194"/>
      <c r="R157" s="32" t="str">
        <f>IF(Fluxo_de_Caixa_Janeiro31020818[[#This Row],[% ACUMULADO  ANO 2026]]&lt;=Fluxo_de_Caixa_Janeiro31020818[[#This Row],[Coluna1]],"VERDADEIRO","FALSO")</f>
        <v>VERDADEIRO</v>
      </c>
    </row>
    <row r="158" spans="2:18" x14ac:dyDescent="0.25">
      <c r="B158" s="55" t="str">
        <f>Fluxo_de_Caixa_Janeiro[[#This Row],[Fluxo de Caixa 2026 CTR]]</f>
        <v>3.4.13. Seguradora Predial / Equipamento</v>
      </c>
      <c r="C158" s="35">
        <f>Fluxo_de_Caixa_Janeiro[[#This Row],[Janeiro]]</f>
        <v>601</v>
      </c>
      <c r="D158" s="62">
        <f>Fluxo_de_Caixa_Janeiro3[[#This Row],[Fevereiro]]</f>
        <v>601</v>
      </c>
      <c r="E158" s="62">
        <f>Fluxo_de_Caixa_Janeiro34[[#This Row],[Março]]</f>
        <v>601</v>
      </c>
      <c r="F158" s="62">
        <f>Fluxo_de_Caixa_Janeiro345[[#This Row],[ABRIL]]</f>
        <v>601</v>
      </c>
      <c r="G158" s="62">
        <f>Fluxo_de_Caixa_Janeiro3459[[#This Row],[MAIO]]</f>
        <v>594.4</v>
      </c>
      <c r="H158" s="62">
        <f>Fluxo_de_Caixa_Janeiro345911[[#This Row],[JUNHO]]</f>
        <v>0</v>
      </c>
      <c r="I158" s="35">
        <f>Fluxo_de_Caixa_Janeiro3459117[[#This Row],[JULHO]]</f>
        <v>0</v>
      </c>
      <c r="J158" s="62">
        <f>Fluxo_de_Caixa_Janeiro345911710[[#This Row],[AGOSTO]]</f>
        <v>0</v>
      </c>
      <c r="K158" s="62">
        <f>Fluxo_de_Caixa_Janeiro34591171012[[#This Row],[SETEMBRO]]</f>
        <v>0</v>
      </c>
      <c r="L158" s="62">
        <f>Fluxo_de_Caixa_Janeiro3459117101215[[#This Row],[OUTUBRO]]</f>
        <v>0</v>
      </c>
      <c r="M158" s="62">
        <f>Fluxo_de_Caixa_Janeiro345911710121516[[#This Row],[NOVEMBRO]]</f>
        <v>0</v>
      </c>
      <c r="N158" s="119">
        <f>Fluxo_de_Caixa_Janeiro34591171012151619[[#This Row],[DEZEMBRO]]</f>
        <v>0</v>
      </c>
      <c r="O158" s="224">
        <f>SUM(Fluxo_de_Caixa_Janeiro31020818[[#This Row],[Janeiro]:[Dezembro]])</f>
        <v>2998.4</v>
      </c>
      <c r="P158" s="194">
        <f t="shared" si="9"/>
        <v>6.4698154819585951E-4</v>
      </c>
      <c r="Q158" s="194"/>
      <c r="R158" s="32" t="str">
        <f>IF(Fluxo_de_Caixa_Janeiro31020818[[#This Row],[% ACUMULADO  ANO 2026]]&lt;=Fluxo_de_Caixa_Janeiro31020818[[#This Row],[Coluna1]],"VERDADEIRO","FALSO")</f>
        <v>FALSO</v>
      </c>
    </row>
    <row r="159" spans="2:18" x14ac:dyDescent="0.25">
      <c r="B159" s="55" t="str">
        <f>Fluxo_de_Caixa_Janeiro[[#This Row],[Fluxo de Caixa 2026 CTR]]</f>
        <v>3.4.14. Consulta de crédito SPC/Serasa</v>
      </c>
      <c r="C159" s="35">
        <f>Fluxo_de_Caixa_Janeiro[[#This Row],[Janeiro]]</f>
        <v>983.32</v>
      </c>
      <c r="D159" s="62">
        <f>Fluxo_de_Caixa_Janeiro3[[#This Row],[Fevereiro]]</f>
        <v>883.13</v>
      </c>
      <c r="E159" s="62">
        <f>Fluxo_de_Caixa_Janeiro34[[#This Row],[Março]]</f>
        <v>1161.4100000000001</v>
      </c>
      <c r="F159" s="62">
        <f>Fluxo_de_Caixa_Janeiro345[[#This Row],[ABRIL]]</f>
        <v>794.25</v>
      </c>
      <c r="G159" s="62">
        <f>Fluxo_de_Caixa_Janeiro3459[[#This Row],[MAIO]]</f>
        <v>794.25</v>
      </c>
      <c r="H159" s="62">
        <f>Fluxo_de_Caixa_Janeiro345911[[#This Row],[JUNHO]]</f>
        <v>0</v>
      </c>
      <c r="I159" s="35">
        <f>Fluxo_de_Caixa_Janeiro3459117[[#This Row],[JULHO]]</f>
        <v>0</v>
      </c>
      <c r="J159" s="62">
        <f>Fluxo_de_Caixa_Janeiro345911710[[#This Row],[AGOSTO]]</f>
        <v>0</v>
      </c>
      <c r="K159" s="62">
        <f>Fluxo_de_Caixa_Janeiro34591171012[[#This Row],[SETEMBRO]]</f>
        <v>0</v>
      </c>
      <c r="L159" s="62">
        <f>Fluxo_de_Caixa_Janeiro3459117101215[[#This Row],[OUTUBRO]]</f>
        <v>0</v>
      </c>
      <c r="M159" s="62">
        <f>Fluxo_de_Caixa_Janeiro345911710121516[[#This Row],[NOVEMBRO]]</f>
        <v>0</v>
      </c>
      <c r="N159" s="119">
        <f>Fluxo_de_Caixa_Janeiro34591171012151619[[#This Row],[DEZEMBRO]]</f>
        <v>0</v>
      </c>
      <c r="O159" s="224">
        <f>SUM(Fluxo_de_Caixa_Janeiro31020818[[#This Row],[Janeiro]:[Dezembro]])</f>
        <v>4616.3600000000006</v>
      </c>
      <c r="P159" s="194">
        <f t="shared" si="9"/>
        <v>9.960978321202768E-4</v>
      </c>
      <c r="Q159" s="194"/>
      <c r="R159" s="32" t="str">
        <f>IF(Fluxo_de_Caixa_Janeiro31020818[[#This Row],[% ACUMULADO  ANO 2026]]&lt;=Fluxo_de_Caixa_Janeiro31020818[[#This Row],[Coluna1]],"VERDADEIRO","FALSO")</f>
        <v>FALSO</v>
      </c>
    </row>
    <row r="160" spans="2:18" x14ac:dyDescent="0.25">
      <c r="B160" s="55" t="str">
        <f>Fluxo_de_Caixa_Janeiro[[#This Row],[Fluxo de Caixa 2026 CTR]]</f>
        <v>3.4.15. Frete Compra de Material Uso e Consumo</v>
      </c>
      <c r="C160" s="35">
        <f>Fluxo_de_Caixa_Janeiro[[#This Row],[Janeiro]]</f>
        <v>0</v>
      </c>
      <c r="D160" s="62">
        <f>Fluxo_de_Caixa_Janeiro3[[#This Row],[Fevereiro]]</f>
        <v>0</v>
      </c>
      <c r="E160" s="62">
        <f>Fluxo_de_Caixa_Janeiro34[[#This Row],[Março]]</f>
        <v>0</v>
      </c>
      <c r="F160" s="62">
        <f>Fluxo_de_Caixa_Janeiro345[[#This Row],[ABRIL]]</f>
        <v>0</v>
      </c>
      <c r="G160" s="62">
        <f>Fluxo_de_Caixa_Janeiro3459[[#This Row],[MAIO]]</f>
        <v>0</v>
      </c>
      <c r="H160" s="62">
        <f>Fluxo_de_Caixa_Janeiro345911[[#This Row],[JUNHO]]</f>
        <v>0</v>
      </c>
      <c r="I160" s="35">
        <f>Fluxo_de_Caixa_Janeiro3459117[[#This Row],[JULHO]]</f>
        <v>0</v>
      </c>
      <c r="J160" s="62">
        <f>Fluxo_de_Caixa_Janeiro345911710[[#This Row],[AGOSTO]]</f>
        <v>0</v>
      </c>
      <c r="K160" s="62">
        <f>Fluxo_de_Caixa_Janeiro34591171012[[#This Row],[SETEMBRO]]</f>
        <v>0</v>
      </c>
      <c r="L160" s="62">
        <f>Fluxo_de_Caixa_Janeiro3459117101215[[#This Row],[OUTUBRO]]</f>
        <v>0</v>
      </c>
      <c r="M160" s="62">
        <f>Fluxo_de_Caixa_Janeiro345911710121516[[#This Row],[NOVEMBRO]]</f>
        <v>0</v>
      </c>
      <c r="N160" s="397">
        <f>Fluxo_de_Caixa_Janeiro34591171012151619[[#This Row],[DEZEMBRO]]</f>
        <v>0</v>
      </c>
      <c r="O160" s="224">
        <f>SUM(Fluxo_de_Caixa_Janeiro31020818[[#This Row],[Janeiro]:[Dezembro]])</f>
        <v>0</v>
      </c>
      <c r="P160" s="194">
        <f t="shared" si="9"/>
        <v>0</v>
      </c>
      <c r="Q160" s="194"/>
      <c r="R160" s="32" t="str">
        <f>IF(Fluxo_de_Caixa_Janeiro31020818[[#This Row],[% ACUMULADO  ANO 2026]]&lt;=Fluxo_de_Caixa_Janeiro31020818[[#This Row],[Coluna1]],"VERDADEIRO","FALSO")</f>
        <v>VERDADEIRO</v>
      </c>
    </row>
    <row r="161" spans="1:18" x14ac:dyDescent="0.25">
      <c r="B161" s="55" t="str">
        <f>Fluxo_de_Caixa_Janeiro[[#This Row],[Fluxo de Caixa 2026 CTR]]</f>
        <v xml:space="preserve">3.4.16. Pro labore </v>
      </c>
      <c r="C161" s="35">
        <f>Fluxo_de_Caixa_Janeiro[[#This Row],[Janeiro]]</f>
        <v>25936</v>
      </c>
      <c r="D161" s="62">
        <f>Fluxo_de_Caixa_Janeiro3[[#This Row],[Fevereiro]]</f>
        <v>23234.33</v>
      </c>
      <c r="E161" s="62">
        <f>Fluxo_de_Caixa_Janeiro34[[#This Row],[Março]]</f>
        <v>17831</v>
      </c>
      <c r="F161" s="62">
        <f>Fluxo_de_Caixa_Janeiro345[[#This Row],[ABRIL]]</f>
        <v>17831</v>
      </c>
      <c r="G161" s="62">
        <f>Fluxo_de_Caixa_Janeiro3459[[#This Row],[MAIO]]</f>
        <v>17831</v>
      </c>
      <c r="H161" s="62">
        <f>Fluxo_de_Caixa_Janeiro345911[[#This Row],[JUNHO]]</f>
        <v>0</v>
      </c>
      <c r="I161" s="35">
        <f>Fluxo_de_Caixa_Janeiro3459117[[#This Row],[JULHO]]</f>
        <v>0</v>
      </c>
      <c r="J161" s="62">
        <f>Fluxo_de_Caixa_Janeiro345911710[[#This Row],[AGOSTO]]</f>
        <v>0</v>
      </c>
      <c r="K161" s="62">
        <f>Fluxo_de_Caixa_Janeiro34591171012[[#This Row],[SETEMBRO]]</f>
        <v>0</v>
      </c>
      <c r="L161" s="62">
        <f>Fluxo_de_Caixa_Janeiro3459117101215[[#This Row],[OUTUBRO]]</f>
        <v>0</v>
      </c>
      <c r="M161" s="62">
        <f>Fluxo_de_Caixa_Janeiro345911710121516[[#This Row],[NOVEMBRO]]</f>
        <v>0</v>
      </c>
      <c r="N161" s="119">
        <f>Fluxo_de_Caixa_Janeiro34591171012151619[[#This Row],[DEZEMBRO]]</f>
        <v>0</v>
      </c>
      <c r="O161" s="224">
        <f>SUM(Fluxo_de_Caixa_Janeiro31020818[[#This Row],[Janeiro]:[Dezembro]])</f>
        <v>102663.33</v>
      </c>
      <c r="P161" s="194">
        <f t="shared" si="9"/>
        <v>2.2152241257451449E-2</v>
      </c>
      <c r="Q161" s="194"/>
      <c r="R161" s="32" t="str">
        <f>IF(Fluxo_de_Caixa_Janeiro31020818[[#This Row],[% ACUMULADO  ANO 2026]]&lt;=Fluxo_de_Caixa_Janeiro31020818[[#This Row],[Coluna1]],"VERDADEIRO","FALSO")</f>
        <v>FALSO</v>
      </c>
    </row>
    <row r="162" spans="1:18" x14ac:dyDescent="0.25">
      <c r="B162" s="55" t="str">
        <f>Fluxo_de_Caixa_Janeiro[[#This Row],[Fluxo de Caixa 2026 CTR]]</f>
        <v>3.4.17. Multas Administrativas e trabalhistas</v>
      </c>
      <c r="C162" s="35">
        <f>Fluxo_de_Caixa_Janeiro[[#This Row],[Janeiro]]</f>
        <v>0</v>
      </c>
      <c r="D162" s="62">
        <f>Fluxo_de_Caixa_Janeiro3[[#This Row],[Fevereiro]]</f>
        <v>0</v>
      </c>
      <c r="E162" s="62">
        <f>Fluxo_de_Caixa_Janeiro34[[#This Row],[Março]]</f>
        <v>0</v>
      </c>
      <c r="F162" s="62">
        <f>Fluxo_de_Caixa_Janeiro345[[#This Row],[ABRIL]]</f>
        <v>0</v>
      </c>
      <c r="G162" s="62">
        <f>Fluxo_de_Caixa_Janeiro3459[[#This Row],[MAIO]]</f>
        <v>0</v>
      </c>
      <c r="H162" s="62">
        <f>Fluxo_de_Caixa_Janeiro345911[[#This Row],[JUNHO]]</f>
        <v>0</v>
      </c>
      <c r="I162" s="35">
        <f>Fluxo_de_Caixa_Janeiro3459117[[#This Row],[JULHO]]</f>
        <v>0</v>
      </c>
      <c r="J162" s="62">
        <f>Fluxo_de_Caixa_Janeiro345911710[[#This Row],[AGOSTO]]</f>
        <v>0</v>
      </c>
      <c r="K162" s="62">
        <f>Fluxo_de_Caixa_Janeiro34591171012[[#This Row],[SETEMBRO]]</f>
        <v>0</v>
      </c>
      <c r="L162" s="62">
        <f>Fluxo_de_Caixa_Janeiro3459117101215[[#This Row],[OUTUBRO]]</f>
        <v>0</v>
      </c>
      <c r="M162" s="62">
        <f>Fluxo_de_Caixa_Janeiro345911710121516[[#This Row],[NOVEMBRO]]</f>
        <v>0</v>
      </c>
      <c r="N162" s="119">
        <f>Fluxo_de_Caixa_Janeiro34591171012151619[[#This Row],[DEZEMBRO]]</f>
        <v>0</v>
      </c>
      <c r="O162" s="224">
        <f>SUM(Fluxo_de_Caixa_Janeiro31020818[[#This Row],[Janeiro]:[Dezembro]])</f>
        <v>0</v>
      </c>
      <c r="P162" s="194">
        <f t="shared" si="9"/>
        <v>0</v>
      </c>
      <c r="Q162" s="194"/>
      <c r="R162" s="32" t="str">
        <f>IF(Fluxo_de_Caixa_Janeiro31020818[[#This Row],[% ACUMULADO  ANO 2026]]&lt;=Fluxo_de_Caixa_Janeiro31020818[[#This Row],[Coluna1]],"VERDADEIRO","FALSO")</f>
        <v>VERDADEIRO</v>
      </c>
    </row>
    <row r="163" spans="1:18" x14ac:dyDescent="0.25">
      <c r="B163" s="55" t="str">
        <f>Fluxo_de_Caixa_Janeiro[[#This Row],[Fluxo de Caixa 2026 CTR]]</f>
        <v>3.4.18. Seguro Prestamista - Variavel (Emprestimo)</v>
      </c>
      <c r="C163" s="35">
        <f>Fluxo_de_Caixa_Janeiro[[#This Row],[Janeiro]]</f>
        <v>0</v>
      </c>
      <c r="D163" s="62">
        <f>Fluxo_de_Caixa_Janeiro3[[#This Row],[Fevereiro]]</f>
        <v>0</v>
      </c>
      <c r="E163" s="62">
        <f>Fluxo_de_Caixa_Janeiro34[[#This Row],[Março]]</f>
        <v>0</v>
      </c>
      <c r="F163" s="62">
        <f>Fluxo_de_Caixa_Janeiro345[[#This Row],[ABRIL]]</f>
        <v>-4878.74</v>
      </c>
      <c r="G163" s="62">
        <f>Fluxo_de_Caixa_Janeiro3459[[#This Row],[MAIO]]</f>
        <v>-25558.06</v>
      </c>
      <c r="H163" s="62">
        <f>Fluxo_de_Caixa_Janeiro345911[[#This Row],[JUNHO]]</f>
        <v>0</v>
      </c>
      <c r="I163" s="35">
        <f>Fluxo_de_Caixa_Janeiro3459117[[#This Row],[JULHO]]</f>
        <v>0</v>
      </c>
      <c r="J163" s="62">
        <f>Fluxo_de_Caixa_Janeiro345911710[[#This Row],[AGOSTO]]</f>
        <v>0</v>
      </c>
      <c r="K163" s="62">
        <f>Fluxo_de_Caixa_Janeiro34591171012[[#This Row],[SETEMBRO]]</f>
        <v>0</v>
      </c>
      <c r="L163" s="62">
        <f>Fluxo_de_Caixa_Janeiro3459117101215[[#This Row],[OUTUBRO]]</f>
        <v>0</v>
      </c>
      <c r="M163" s="62">
        <f>Fluxo_de_Caixa_Janeiro345911710121516[[#This Row],[NOVEMBRO]]</f>
        <v>0</v>
      </c>
      <c r="N163" s="119">
        <f>Fluxo_de_Caixa_Janeiro34591171012151619[[#This Row],[DEZEMBRO]]</f>
        <v>0</v>
      </c>
      <c r="O163" s="224">
        <f>SUM(Fluxo_de_Caixa_Janeiro31020818[[#This Row],[Janeiro]:[Dezembro]])</f>
        <v>-30436.800000000003</v>
      </c>
      <c r="P163" s="194">
        <f t="shared" si="9"/>
        <v>-6.5675186720009797E-3</v>
      </c>
      <c r="Q163" s="194"/>
      <c r="R163" s="32" t="str">
        <f>IF(Fluxo_de_Caixa_Janeiro31020818[[#This Row],[% ACUMULADO  ANO 2026]]&lt;=Fluxo_de_Caixa_Janeiro31020818[[#This Row],[Coluna1]],"VERDADEIRO","FALSO")</f>
        <v>VERDADEIRO</v>
      </c>
    </row>
    <row r="164" spans="1:18" x14ac:dyDescent="0.25">
      <c r="B164" s="55" t="str">
        <f>Fluxo_de_Caixa_Janeiro[[#This Row],[Fluxo de Caixa 2026 CTR]]</f>
        <v>3.4.19. Contribuições e Doações</v>
      </c>
      <c r="C164" s="35">
        <f>Fluxo_de_Caixa_Janeiro[[#This Row],[Janeiro]]</f>
        <v>0</v>
      </c>
      <c r="D164" s="62">
        <f>Fluxo_de_Caixa_Janeiro3[[#This Row],[Fevereiro]]</f>
        <v>0</v>
      </c>
      <c r="E164" s="62">
        <f>Fluxo_de_Caixa_Janeiro34[[#This Row],[Março]]</f>
        <v>0</v>
      </c>
      <c r="F164" s="62">
        <f>Fluxo_de_Caixa_Janeiro345[[#This Row],[ABRIL]]</f>
        <v>0</v>
      </c>
      <c r="G164" s="62">
        <f>Fluxo_de_Caixa_Janeiro3459[[#This Row],[MAIO]]</f>
        <v>0</v>
      </c>
      <c r="H164" s="62">
        <f>Fluxo_de_Caixa_Janeiro345911[[#This Row],[JUNHO]]</f>
        <v>0</v>
      </c>
      <c r="I164" s="35">
        <f>Fluxo_de_Caixa_Janeiro3459117[[#This Row],[JULHO]]</f>
        <v>0</v>
      </c>
      <c r="J164" s="62">
        <f>Fluxo_de_Caixa_Janeiro345911710[[#This Row],[AGOSTO]]</f>
        <v>0</v>
      </c>
      <c r="K164" s="62">
        <f>Fluxo_de_Caixa_Janeiro34591171012[[#This Row],[SETEMBRO]]</f>
        <v>0</v>
      </c>
      <c r="L164" s="62">
        <f>Fluxo_de_Caixa_Janeiro3459117101215[[#This Row],[OUTUBRO]]</f>
        <v>0</v>
      </c>
      <c r="M164" s="62">
        <f>Fluxo_de_Caixa_Janeiro345911710121516[[#This Row],[NOVEMBRO]]</f>
        <v>0</v>
      </c>
      <c r="N164" s="119">
        <f>Fluxo_de_Caixa_Janeiro34591171012151619[[#This Row],[DEZEMBRO]]</f>
        <v>0</v>
      </c>
      <c r="O164" s="224">
        <f>SUM(Fluxo_de_Caixa_Janeiro31020818[[#This Row],[Janeiro]:[Dezembro]])</f>
        <v>0</v>
      </c>
      <c r="P164" s="194">
        <f t="shared" si="9"/>
        <v>0</v>
      </c>
      <c r="Q164" s="194"/>
      <c r="R164" s="32" t="str">
        <f>IF(Fluxo_de_Caixa_Janeiro31020818[[#This Row],[% ACUMULADO  ANO 2026]]&lt;=Fluxo_de_Caixa_Janeiro31020818[[#This Row],[Coluna1]],"VERDADEIRO","FALSO")</f>
        <v>VERDADEIRO</v>
      </c>
    </row>
    <row r="165" spans="1:18" ht="15.75" thickBot="1" x14ac:dyDescent="0.3">
      <c r="B165" s="55" t="str">
        <f>Fluxo_de_Caixa_Janeiro[[#This Row],[Fluxo de Caixa 2026 CTR]]</f>
        <v>3.4.20. Aquisi. Equipam. ADM não Imobilizavel</v>
      </c>
      <c r="C165" s="35">
        <f>Fluxo_de_Caixa_Janeiro[[#This Row],[Janeiro]]</f>
        <v>0</v>
      </c>
      <c r="D165" s="62">
        <f>Fluxo_de_Caixa_Janeiro3[[#This Row],[Fevereiro]]</f>
        <v>64.98</v>
      </c>
      <c r="E165" s="62">
        <f>Fluxo_de_Caixa_Janeiro34[[#This Row],[Março]]</f>
        <v>0</v>
      </c>
      <c r="F165" s="62">
        <f>Fluxo_de_Caixa_Janeiro345[[#This Row],[ABRIL]]</f>
        <v>0</v>
      </c>
      <c r="G165" s="62">
        <f>Fluxo_de_Caixa_Janeiro3459[[#This Row],[MAIO]]</f>
        <v>0</v>
      </c>
      <c r="H165" s="62">
        <f>Fluxo_de_Caixa_Janeiro345911[[#This Row],[JUNHO]]</f>
        <v>0</v>
      </c>
      <c r="I165" s="538">
        <f>Fluxo_de_Caixa_Janeiro3459117[[#This Row],[JULHO]]</f>
        <v>0</v>
      </c>
      <c r="J165" s="407">
        <f>Fluxo_de_Caixa_Janeiro345911710[[#This Row],[AGOSTO]]</f>
        <v>0</v>
      </c>
      <c r="K165" s="407">
        <f>Fluxo_de_Caixa_Janeiro34591171012[[#This Row],[SETEMBRO]]</f>
        <v>0</v>
      </c>
      <c r="L165" s="407">
        <f>Fluxo_de_Caixa_Janeiro3459117101215[[#This Row],[OUTUBRO]]</f>
        <v>0</v>
      </c>
      <c r="M165" s="407">
        <f>Fluxo_de_Caixa_Janeiro345911710121516[[#This Row],[NOVEMBRO]]</f>
        <v>0</v>
      </c>
      <c r="N165" s="119">
        <f>Fluxo_de_Caixa_Janeiro34591171012151619[[#This Row],[DEZEMBRO]]</f>
        <v>0</v>
      </c>
      <c r="O165" s="224">
        <f>SUM(Fluxo_de_Caixa_Janeiro31020818[[#This Row],[Janeiro]:[Dezembro]])</f>
        <v>64.98</v>
      </c>
      <c r="P165" s="194">
        <f t="shared" si="9"/>
        <v>1.4021098252990579E-5</v>
      </c>
      <c r="Q165" s="194"/>
      <c r="R165" s="32" t="str">
        <f>IF(Fluxo_de_Caixa_Janeiro31020818[[#This Row],[% ACUMULADO  ANO 2026]]&lt;=Fluxo_de_Caixa_Janeiro31020818[[#This Row],[Coluna1]],"VERDADEIRO","FALSO")</f>
        <v>FALSO</v>
      </c>
    </row>
    <row r="166" spans="1:18" ht="15.75" hidden="1" thickBot="1" x14ac:dyDescent="0.3">
      <c r="B166" s="276">
        <f>Fluxo_de_Caixa_Janeiro[[#This Row],[Fluxo de Caixa 2026 CTR]]</f>
        <v>0</v>
      </c>
      <c r="C166" s="36">
        <f>Fluxo_de_Caixa_Janeiro[[#This Row],[Janeiro]]</f>
        <v>0</v>
      </c>
      <c r="D166" s="82">
        <f>Fluxo_de_Caixa_Janeiro3[[#This Row],[Fevereiro]]</f>
        <v>0</v>
      </c>
      <c r="E166" s="82">
        <f>Fluxo_de_Caixa_Janeiro34[[#This Row],[Março]]</f>
        <v>0</v>
      </c>
      <c r="F166" s="82">
        <f>Fluxo_de_Caixa_Janeiro345[[#This Row],[ABRIL]]</f>
        <v>0</v>
      </c>
      <c r="G166" s="82">
        <f>Fluxo_de_Caixa_Janeiro3459[[#This Row],[MAIO]]</f>
        <v>0</v>
      </c>
      <c r="H166" s="82">
        <f>Fluxo_de_Caixa_Janeiro345911[[#This Row],[JUNHO]]</f>
        <v>0</v>
      </c>
      <c r="I166" s="36">
        <f>Fluxo_de_Caixa_Janeiro3459117[[#This Row],[JULHO]]</f>
        <v>0</v>
      </c>
      <c r="J166" s="82">
        <f>Fluxo_de_Caixa_Janeiro345911710[[#This Row],[AGOSTO]]</f>
        <v>0</v>
      </c>
      <c r="K166" s="82">
        <f>Fluxo_de_Caixa_Janeiro34591171012[[#This Row],[SETEMBRO]]</f>
        <v>0</v>
      </c>
      <c r="L166" s="82">
        <f>Fluxo_de_Caixa_Janeiro3459117101215[[#This Row],[OUTUBRO]]</f>
        <v>0</v>
      </c>
      <c r="M166" s="82">
        <f>Fluxo_de_Caixa_Janeiro345911710121516[[#This Row],[NOVEMBRO]]</f>
        <v>0</v>
      </c>
      <c r="N166" s="120">
        <f>Fluxo_de_Caixa_Janeiro34591171012151619[[#This Row],[DEZEMBRO]]</f>
        <v>0</v>
      </c>
      <c r="O166" s="225">
        <f>SUM(Fluxo_de_Caixa_Janeiro31020818[[#This Row],[Janeiro]:[Dezembro]])</f>
        <v>0</v>
      </c>
      <c r="P166" s="195">
        <f t="shared" si="9"/>
        <v>0</v>
      </c>
      <c r="Q166" s="195"/>
      <c r="R166" s="32" t="str">
        <f>IF(Fluxo_de_Caixa_Janeiro31020818[[#This Row],[% ACUMULADO  ANO 2026]]&lt;=Fluxo_de_Caixa_Janeiro31020818[[#This Row],[Coluna1]],"VERDADEIRO","FALSO")</f>
        <v>VERDADEIRO</v>
      </c>
    </row>
    <row r="167" spans="1:18" ht="19.5" thickBot="1" x14ac:dyDescent="0.35">
      <c r="A167" s="15" t="s">
        <v>6</v>
      </c>
      <c r="B167" s="168" t="str">
        <f>Fluxo_de_Caixa_Janeiro[[#This Row],[Fluxo de Caixa 2026 CTR]]</f>
        <v>3.5. DESPESAS FIXAS</v>
      </c>
      <c r="C167" s="158">
        <f>Fluxo_de_Caixa_Janeiro[[#This Row],[Janeiro]]</f>
        <v>-33111.79</v>
      </c>
      <c r="D167" s="97">
        <f>Fluxo_de_Caixa_Janeiro3[[#This Row],[Fevereiro]]</f>
        <v>-32358.45</v>
      </c>
      <c r="E167" s="97">
        <f>Fluxo_de_Caixa_Janeiro34[[#This Row],[Março]]</f>
        <v>-33970.92</v>
      </c>
      <c r="F167" s="97">
        <f>Fluxo_de_Caixa_Janeiro345[[#This Row],[ABRIL]]</f>
        <v>-30223.229999999996</v>
      </c>
      <c r="G167" s="97">
        <f>Fluxo_de_Caixa_Janeiro3459[[#This Row],[MAIO]]</f>
        <v>-29705.439999999999</v>
      </c>
      <c r="H167" s="97">
        <f>Fluxo_de_Caixa_Janeiro345911[[#This Row],[JUNHO]]</f>
        <v>0</v>
      </c>
      <c r="I167" s="158">
        <f>Fluxo_de_Caixa_Janeiro3459117[[#This Row],[JULHO]]</f>
        <v>0</v>
      </c>
      <c r="J167" s="97">
        <f>Fluxo_de_Caixa_Janeiro345911710[[#This Row],[AGOSTO]]</f>
        <v>0</v>
      </c>
      <c r="K167" s="97">
        <f>Fluxo_de_Caixa_Janeiro34591171012[[#This Row],[SETEMBRO]]</f>
        <v>0</v>
      </c>
      <c r="L167" s="97">
        <f>Fluxo_de_Caixa_Janeiro3459117101215[[#This Row],[OUTUBRO]]</f>
        <v>0</v>
      </c>
      <c r="M167" s="97">
        <f>Fluxo_de_Caixa_Janeiro345911710121516[[#This Row],[NOVEMBRO]]</f>
        <v>0</v>
      </c>
      <c r="N167" s="129">
        <f>Fluxo_de_Caixa_Janeiro34591171012151619[[#This Row],[DEZEMBRO]]</f>
        <v>0</v>
      </c>
      <c r="O167" s="226">
        <f>SUM(Fluxo_de_Caixa_Janeiro31020818[[#This Row],[Janeiro]:[Dezembro]])</f>
        <v>-159369.82999999999</v>
      </c>
      <c r="P167" s="144">
        <f>-IFERROR(O167/$O$27,"0,00")</f>
        <v>3.4388120113764319E-2</v>
      </c>
      <c r="Q167" s="144"/>
      <c r="R167" s="32" t="str">
        <f>IF(Fluxo_de_Caixa_Janeiro31020818[[#This Row],[% ACUMULADO  ANO 2026]]&lt;=Fluxo_de_Caixa_Janeiro31020818[[#This Row],[Coluna1]],"VERDADEIRO","FALSO")</f>
        <v>FALSO</v>
      </c>
    </row>
    <row r="168" spans="1:18" x14ac:dyDescent="0.25">
      <c r="B168" s="169" t="str">
        <f>Fluxo_de_Caixa_Janeiro[[#This Row],[Fluxo de Caixa 2026 CTR]]</f>
        <v>3.5.01. Conta de Água</v>
      </c>
      <c r="C168" s="41">
        <f>Fluxo_de_Caixa_Janeiro[[#This Row],[Janeiro]]</f>
        <v>384.61</v>
      </c>
      <c r="D168" s="81">
        <f>Fluxo_de_Caixa_Janeiro3[[#This Row],[Fevereiro]]</f>
        <v>340.34</v>
      </c>
      <c r="E168" s="81">
        <f>Fluxo_de_Caixa_Janeiro34[[#This Row],[Março]]</f>
        <v>341.88</v>
      </c>
      <c r="F168" s="81">
        <f>Fluxo_de_Caixa_Janeiro345[[#This Row],[ABRIL]]</f>
        <v>258.52</v>
      </c>
      <c r="G168" s="81">
        <f>Fluxo_de_Caixa_Janeiro3459[[#This Row],[MAIO]]</f>
        <v>363.84</v>
      </c>
      <c r="H168" s="81">
        <f>Fluxo_de_Caixa_Janeiro345911[[#This Row],[JUNHO]]</f>
        <v>0</v>
      </c>
      <c r="I168" s="41">
        <f>Fluxo_de_Caixa_Janeiro3459117[[#This Row],[JULHO]]</f>
        <v>0</v>
      </c>
      <c r="J168" s="81">
        <f>Fluxo_de_Caixa_Janeiro345911710[[#This Row],[AGOSTO]]</f>
        <v>0</v>
      </c>
      <c r="K168" s="81">
        <f>Fluxo_de_Caixa_Janeiro34591171012[[#This Row],[SETEMBRO]]</f>
        <v>0</v>
      </c>
      <c r="L168" s="81">
        <f>Fluxo_de_Caixa_Janeiro3459117101215[[#This Row],[OUTUBRO]]</f>
        <v>0</v>
      </c>
      <c r="M168" s="81">
        <f>Fluxo_de_Caixa_Janeiro345911710121516[[#This Row],[NOVEMBRO]]</f>
        <v>0</v>
      </c>
      <c r="N168" s="118">
        <f>Fluxo_de_Caixa_Janeiro34591171012151619[[#This Row],[DEZEMBRO]]</f>
        <v>0</v>
      </c>
      <c r="O168" s="223">
        <f>SUM(Fluxo_de_Caixa_Janeiro31020818[[#This Row],[Janeiro]:[Dezembro]])</f>
        <v>1689.1899999999998</v>
      </c>
      <c r="P168" s="193">
        <f t="shared" ref="P168:P181" si="10">IFERROR(O168/$O$27,"0,00%")</f>
        <v>3.6448597965480379E-4</v>
      </c>
      <c r="Q168" s="193"/>
      <c r="R168" s="32" t="str">
        <f>IF(Fluxo_de_Caixa_Janeiro31020818[[#This Row],[% ACUMULADO  ANO 2026]]&lt;=Fluxo_de_Caixa_Janeiro31020818[[#This Row],[Coluna1]],"VERDADEIRO","FALSO")</f>
        <v>FALSO</v>
      </c>
    </row>
    <row r="169" spans="1:18" x14ac:dyDescent="0.25">
      <c r="B169" s="55" t="str">
        <f>Fluxo_de_Caixa_Janeiro[[#This Row],[Fluxo de Caixa 2026 CTR]]</f>
        <v xml:space="preserve">3.5.02. Conta de Energia </v>
      </c>
      <c r="C169" s="35">
        <f>Fluxo_de_Caixa_Janeiro[[#This Row],[Janeiro]]</f>
        <v>5592.25</v>
      </c>
      <c r="D169" s="62">
        <f>Fluxo_de_Caixa_Janeiro3[[#This Row],[Fevereiro]]</f>
        <v>2796.16</v>
      </c>
      <c r="E169" s="62">
        <f>Fluxo_de_Caixa_Janeiro34[[#This Row],[Março]]</f>
        <v>4043.81</v>
      </c>
      <c r="F169" s="62">
        <f>Fluxo_de_Caixa_Janeiro345[[#This Row],[ABRIL]]</f>
        <v>4410.7</v>
      </c>
      <c r="G169" s="62">
        <f>Fluxo_de_Caixa_Janeiro3459[[#This Row],[MAIO]]</f>
        <v>4339.57</v>
      </c>
      <c r="H169" s="62">
        <f>Fluxo_de_Caixa_Janeiro345911[[#This Row],[JUNHO]]</f>
        <v>0</v>
      </c>
      <c r="I169" s="35">
        <f>Fluxo_de_Caixa_Janeiro3459117[[#This Row],[JULHO]]</f>
        <v>0</v>
      </c>
      <c r="J169" s="62">
        <f>Fluxo_de_Caixa_Janeiro345911710[[#This Row],[AGOSTO]]</f>
        <v>0</v>
      </c>
      <c r="K169" s="62">
        <f>Fluxo_de_Caixa_Janeiro34591171012[[#This Row],[SETEMBRO]]</f>
        <v>0</v>
      </c>
      <c r="L169" s="62">
        <f>Fluxo_de_Caixa_Janeiro3459117101215[[#This Row],[OUTUBRO]]</f>
        <v>0</v>
      </c>
      <c r="M169" s="62">
        <f>Fluxo_de_Caixa_Janeiro345911710121516[[#This Row],[NOVEMBRO]]</f>
        <v>0</v>
      </c>
      <c r="N169" s="119">
        <f>Fluxo_de_Caixa_Janeiro34591171012151619[[#This Row],[DEZEMBRO]]</f>
        <v>0</v>
      </c>
      <c r="O169" s="224">
        <f>SUM(Fluxo_de_Caixa_Janeiro31020818[[#This Row],[Janeiro]:[Dezembro]])</f>
        <v>21182.489999999998</v>
      </c>
      <c r="P169" s="194">
        <f t="shared" si="10"/>
        <v>4.5706644126345085E-3</v>
      </c>
      <c r="Q169" s="194"/>
      <c r="R169" s="32" t="str">
        <f>IF(Fluxo_de_Caixa_Janeiro31020818[[#This Row],[% ACUMULADO  ANO 2026]]&lt;=Fluxo_de_Caixa_Janeiro31020818[[#This Row],[Coluna1]],"VERDADEIRO","FALSO")</f>
        <v>FALSO</v>
      </c>
    </row>
    <row r="170" spans="1:18" x14ac:dyDescent="0.25">
      <c r="B170" s="55" t="str">
        <f>Fluxo_de_Caixa_Janeiro[[#This Row],[Fluxo de Caixa 2026 CTR]]</f>
        <v>3.5.03. Conta de Telefone Fixo/Internet</v>
      </c>
      <c r="C170" s="35">
        <f>Fluxo_de_Caixa_Janeiro[[#This Row],[Janeiro]]</f>
        <v>928.7</v>
      </c>
      <c r="D170" s="62">
        <f>Fluxo_de_Caixa_Janeiro3[[#This Row],[Fevereiro]]</f>
        <v>928.7</v>
      </c>
      <c r="E170" s="62">
        <f>Fluxo_de_Caixa_Janeiro34[[#This Row],[Março]]</f>
        <v>928.7</v>
      </c>
      <c r="F170" s="62">
        <f>Fluxo_de_Caixa_Janeiro345[[#This Row],[ABRIL]]</f>
        <v>928.7</v>
      </c>
      <c r="G170" s="62">
        <f>Fluxo_de_Caixa_Janeiro3459[[#This Row],[MAIO]]</f>
        <v>928.7</v>
      </c>
      <c r="H170" s="62">
        <f>Fluxo_de_Caixa_Janeiro345911[[#This Row],[JUNHO]]</f>
        <v>0</v>
      </c>
      <c r="I170" s="35">
        <f>Fluxo_de_Caixa_Janeiro3459117[[#This Row],[JULHO]]</f>
        <v>0</v>
      </c>
      <c r="J170" s="62">
        <f>Fluxo_de_Caixa_Janeiro345911710[[#This Row],[AGOSTO]]</f>
        <v>0</v>
      </c>
      <c r="K170" s="62">
        <f>Fluxo_de_Caixa_Janeiro34591171012[[#This Row],[SETEMBRO]]</f>
        <v>0</v>
      </c>
      <c r="L170" s="62">
        <f>Fluxo_de_Caixa_Janeiro3459117101215[[#This Row],[OUTUBRO]]</f>
        <v>0</v>
      </c>
      <c r="M170" s="62">
        <f>Fluxo_de_Caixa_Janeiro345911710121516[[#This Row],[NOVEMBRO]]</f>
        <v>0</v>
      </c>
      <c r="N170" s="119">
        <f>Fluxo_de_Caixa_Janeiro34591171012151619[[#This Row],[DEZEMBRO]]</f>
        <v>0</v>
      </c>
      <c r="O170" s="224">
        <f>SUM(Fluxo_de_Caixa_Janeiro31020818[[#This Row],[Janeiro]:[Dezembro]])</f>
        <v>4643.5</v>
      </c>
      <c r="P170" s="194">
        <f t="shared" si="10"/>
        <v>1.0019539818061211E-3</v>
      </c>
      <c r="Q170" s="194"/>
      <c r="R170" s="32" t="str">
        <f>IF(Fluxo_de_Caixa_Janeiro31020818[[#This Row],[% ACUMULADO  ANO 2026]]&lt;=Fluxo_de_Caixa_Janeiro31020818[[#This Row],[Coluna1]],"VERDADEIRO","FALSO")</f>
        <v>FALSO</v>
      </c>
    </row>
    <row r="171" spans="1:18" x14ac:dyDescent="0.25">
      <c r="B171" s="55" t="str">
        <f>Fluxo_de_Caixa_Janeiro[[#This Row],[Fluxo de Caixa 2026 CTR]]</f>
        <v>3.5.04. Conta de Celular</v>
      </c>
      <c r="C171" s="35">
        <f>Fluxo_de_Caixa_Janeiro[[#This Row],[Janeiro]]</f>
        <v>918.23</v>
      </c>
      <c r="D171" s="62">
        <f>Fluxo_de_Caixa_Janeiro3[[#This Row],[Fevereiro]]</f>
        <v>423.25</v>
      </c>
      <c r="E171" s="62">
        <f>Fluxo_de_Caixa_Janeiro34[[#This Row],[Março]]</f>
        <v>449.91</v>
      </c>
      <c r="F171" s="62">
        <f>Fluxo_de_Caixa_Janeiro345[[#This Row],[ABRIL]]</f>
        <v>483.21</v>
      </c>
      <c r="G171" s="62">
        <f>Fluxo_de_Caixa_Janeiro3459[[#This Row],[MAIO]]</f>
        <v>493.33</v>
      </c>
      <c r="H171" s="62">
        <f>Fluxo_de_Caixa_Janeiro345911[[#This Row],[JUNHO]]</f>
        <v>0</v>
      </c>
      <c r="I171" s="35">
        <f>Fluxo_de_Caixa_Janeiro3459117[[#This Row],[JULHO]]</f>
        <v>0</v>
      </c>
      <c r="J171" s="62">
        <f>Fluxo_de_Caixa_Janeiro345911710[[#This Row],[AGOSTO]]</f>
        <v>0</v>
      </c>
      <c r="K171" s="62">
        <f>Fluxo_de_Caixa_Janeiro34591171012[[#This Row],[SETEMBRO]]</f>
        <v>0</v>
      </c>
      <c r="L171" s="62">
        <f>Fluxo_de_Caixa_Janeiro3459117101215[[#This Row],[OUTUBRO]]</f>
        <v>0</v>
      </c>
      <c r="M171" s="62">
        <f>Fluxo_de_Caixa_Janeiro345911710121516[[#This Row],[NOVEMBRO]]</f>
        <v>0</v>
      </c>
      <c r="N171" s="119">
        <f>Fluxo_de_Caixa_Janeiro34591171012151619[[#This Row],[DEZEMBRO]]</f>
        <v>0</v>
      </c>
      <c r="O171" s="224">
        <f>SUM(Fluxo_de_Caixa_Janeiro31020818[[#This Row],[Janeiro]:[Dezembro]])</f>
        <v>2767.93</v>
      </c>
      <c r="P171" s="194">
        <f t="shared" si="10"/>
        <v>5.9725174649738705E-4</v>
      </c>
      <c r="Q171" s="194"/>
      <c r="R171" s="32" t="str">
        <f>IF(Fluxo_de_Caixa_Janeiro31020818[[#This Row],[% ACUMULADO  ANO 2026]]&lt;=Fluxo_de_Caixa_Janeiro31020818[[#This Row],[Coluna1]],"VERDADEIRO","FALSO")</f>
        <v>FALSO</v>
      </c>
    </row>
    <row r="172" spans="1:18" x14ac:dyDescent="0.25">
      <c r="B172" s="55" t="str">
        <f>Fluxo_de_Caixa_Janeiro[[#This Row],[Fluxo de Caixa 2026 CTR]]</f>
        <v>3.5.05. Aluguel Predial</v>
      </c>
      <c r="C172" s="35">
        <f>Fluxo_de_Caixa_Janeiro[[#This Row],[Janeiro]]</f>
        <v>18400</v>
      </c>
      <c r="D172" s="62">
        <f>Fluxo_de_Caixa_Janeiro3[[#This Row],[Fevereiro]]</f>
        <v>18200</v>
      </c>
      <c r="E172" s="62">
        <f>Fluxo_de_Caixa_Janeiro34[[#This Row],[Março]]</f>
        <v>18200</v>
      </c>
      <c r="F172" s="62">
        <f>Fluxo_de_Caixa_Janeiro345[[#This Row],[ABRIL]]</f>
        <v>14000</v>
      </c>
      <c r="G172" s="62">
        <f>Fluxo_de_Caixa_Janeiro3459[[#This Row],[MAIO]]</f>
        <v>14000</v>
      </c>
      <c r="H172" s="62">
        <f>Fluxo_de_Caixa_Janeiro345911[[#This Row],[JUNHO]]</f>
        <v>0</v>
      </c>
      <c r="I172" s="35">
        <f>Fluxo_de_Caixa_Janeiro3459117[[#This Row],[JULHO]]</f>
        <v>0</v>
      </c>
      <c r="J172" s="62">
        <f>Fluxo_de_Caixa_Janeiro345911710[[#This Row],[AGOSTO]]</f>
        <v>0</v>
      </c>
      <c r="K172" s="62">
        <f>Fluxo_de_Caixa_Janeiro34591171012[[#This Row],[SETEMBRO]]</f>
        <v>0</v>
      </c>
      <c r="L172" s="62">
        <f>Fluxo_de_Caixa_Janeiro3459117101215[[#This Row],[OUTUBRO]]</f>
        <v>0</v>
      </c>
      <c r="M172" s="62">
        <f>Fluxo_de_Caixa_Janeiro345911710121516[[#This Row],[NOVEMBRO]]</f>
        <v>0</v>
      </c>
      <c r="N172" s="119">
        <f>Fluxo_de_Caixa_Janeiro34591171012151619[[#This Row],[DEZEMBRO]]</f>
        <v>0</v>
      </c>
      <c r="O172" s="224">
        <f>SUM(Fluxo_de_Caixa_Janeiro31020818[[#This Row],[Janeiro]:[Dezembro]])</f>
        <v>82800</v>
      </c>
      <c r="P172" s="194">
        <f t="shared" si="10"/>
        <v>1.786621938054201E-2</v>
      </c>
      <c r="Q172" s="194"/>
      <c r="R172" s="32" t="str">
        <f>IF(Fluxo_de_Caixa_Janeiro31020818[[#This Row],[% ACUMULADO  ANO 2026]]&lt;=Fluxo_de_Caixa_Janeiro31020818[[#This Row],[Coluna1]],"VERDADEIRO","FALSO")</f>
        <v>FALSO</v>
      </c>
    </row>
    <row r="173" spans="1:18" x14ac:dyDescent="0.25">
      <c r="B173" s="55" t="str">
        <f>Fluxo_de_Caixa_Janeiro[[#This Row],[Fluxo de Caixa 2026 CTR]]</f>
        <v>3.5.06. Aluguel Maquina de Cartão</v>
      </c>
      <c r="C173" s="35">
        <f>Fluxo_de_Caixa_Janeiro[[#This Row],[Janeiro]]</f>
        <v>0</v>
      </c>
      <c r="D173" s="62">
        <f>Fluxo_de_Caixa_Janeiro3[[#This Row],[Fevereiro]]</f>
        <v>0</v>
      </c>
      <c r="E173" s="62">
        <f>Fluxo_de_Caixa_Janeiro34[[#This Row],[Março]]</f>
        <v>0</v>
      </c>
      <c r="F173" s="62">
        <f>Fluxo_de_Caixa_Janeiro345[[#This Row],[ABRIL]]</f>
        <v>0</v>
      </c>
      <c r="G173" s="62">
        <f>Fluxo_de_Caixa_Janeiro3459[[#This Row],[MAIO]]</f>
        <v>0</v>
      </c>
      <c r="H173" s="62">
        <f>Fluxo_de_Caixa_Janeiro345911[[#This Row],[JUNHO]]</f>
        <v>0</v>
      </c>
      <c r="I173" s="35">
        <f>Fluxo_de_Caixa_Janeiro3459117[[#This Row],[JULHO]]</f>
        <v>0</v>
      </c>
      <c r="J173" s="62">
        <f>Fluxo_de_Caixa_Janeiro345911710[[#This Row],[AGOSTO]]</f>
        <v>0</v>
      </c>
      <c r="K173" s="62">
        <f>Fluxo_de_Caixa_Janeiro34591171012[[#This Row],[SETEMBRO]]</f>
        <v>0</v>
      </c>
      <c r="L173" s="62">
        <f>Fluxo_de_Caixa_Janeiro3459117101215[[#This Row],[OUTUBRO]]</f>
        <v>0</v>
      </c>
      <c r="M173" s="62">
        <f>Fluxo_de_Caixa_Janeiro345911710121516[[#This Row],[NOVEMBRO]]</f>
        <v>0</v>
      </c>
      <c r="N173" s="119">
        <f>Fluxo_de_Caixa_Janeiro34591171012151619[[#This Row],[DEZEMBRO]]</f>
        <v>0</v>
      </c>
      <c r="O173" s="224">
        <f>SUM(Fluxo_de_Caixa_Janeiro31020818[[#This Row],[Janeiro]:[Dezembro]])</f>
        <v>0</v>
      </c>
      <c r="P173" s="194">
        <f t="shared" si="10"/>
        <v>0</v>
      </c>
      <c r="Q173" s="194"/>
      <c r="R173" s="32" t="str">
        <f>IF(Fluxo_de_Caixa_Janeiro31020818[[#This Row],[% ACUMULADO  ANO 2026]]&lt;=Fluxo_de_Caixa_Janeiro31020818[[#This Row],[Coluna1]],"VERDADEIRO","FALSO")</f>
        <v>VERDADEIRO</v>
      </c>
    </row>
    <row r="174" spans="1:18" x14ac:dyDescent="0.25">
      <c r="B174" s="169" t="str">
        <f>Fluxo_de_Caixa_Janeiro[[#This Row],[Fluxo de Caixa 2026 CTR]]</f>
        <v>3.5.07. Empresa de Vigilância e Monitoramento</v>
      </c>
      <c r="C174" s="41">
        <f>Fluxo_de_Caixa_Janeiro[[#This Row],[Janeiro]]</f>
        <v>670</v>
      </c>
      <c r="D174" s="81">
        <f>Fluxo_de_Caixa_Janeiro3[[#This Row],[Fevereiro]]</f>
        <v>670</v>
      </c>
      <c r="E174" s="81">
        <f>Fluxo_de_Caixa_Janeiro34[[#This Row],[Março]]</f>
        <v>1006.62</v>
      </c>
      <c r="F174" s="81">
        <f>Fluxo_de_Caixa_Janeiro345[[#This Row],[ABRIL]]</f>
        <v>1142.0999999999999</v>
      </c>
      <c r="G174" s="81">
        <f>Fluxo_de_Caixa_Janeiro3459[[#This Row],[MAIO]]</f>
        <v>580</v>
      </c>
      <c r="H174" s="81">
        <f>Fluxo_de_Caixa_Janeiro345911[[#This Row],[JUNHO]]</f>
        <v>0</v>
      </c>
      <c r="I174" s="41">
        <f>Fluxo_de_Caixa_Janeiro3459117[[#This Row],[JULHO]]</f>
        <v>0</v>
      </c>
      <c r="J174" s="81">
        <f>Fluxo_de_Caixa_Janeiro345911710[[#This Row],[AGOSTO]]</f>
        <v>0</v>
      </c>
      <c r="K174" s="81">
        <f>Fluxo_de_Caixa_Janeiro34591171012[[#This Row],[SETEMBRO]]</f>
        <v>0</v>
      </c>
      <c r="L174" s="81">
        <f>Fluxo_de_Caixa_Janeiro3459117101215[[#This Row],[OUTUBRO]]</f>
        <v>0</v>
      </c>
      <c r="M174" s="81">
        <f>Fluxo_de_Caixa_Janeiro345911710121516[[#This Row],[NOVEMBRO]]</f>
        <v>0</v>
      </c>
      <c r="N174" s="118">
        <f>Fluxo_de_Caixa_Janeiro34591171012151619[[#This Row],[DEZEMBRO]]</f>
        <v>0</v>
      </c>
      <c r="O174" s="223">
        <f>SUM(Fluxo_de_Caixa_Janeiro31020818[[#This Row],[Janeiro]:[Dezembro]])</f>
        <v>4068.72</v>
      </c>
      <c r="P174" s="193">
        <f t="shared" si="10"/>
        <v>8.7793048451689478E-4</v>
      </c>
      <c r="Q174" s="193"/>
      <c r="R174" s="32" t="str">
        <f>IF(Fluxo_de_Caixa_Janeiro31020818[[#This Row],[% ACUMULADO  ANO 2026]]&lt;=Fluxo_de_Caixa_Janeiro31020818[[#This Row],[Coluna1]],"VERDADEIRO","FALSO")</f>
        <v>FALSO</v>
      </c>
    </row>
    <row r="175" spans="1:18" hidden="1" x14ac:dyDescent="0.25">
      <c r="B175" s="55">
        <f>Fluxo_de_Caixa_Janeiro[[#This Row],[Fluxo de Caixa 2026 CTR]]</f>
        <v>0</v>
      </c>
      <c r="C175" s="35">
        <f>Fluxo_de_Caixa_Janeiro[[#This Row],[Janeiro]]</f>
        <v>0</v>
      </c>
      <c r="D175" s="62">
        <f>Fluxo_de_Caixa_Janeiro3[[#This Row],[Fevereiro]]</f>
        <v>0</v>
      </c>
      <c r="E175" s="62">
        <f>Fluxo_de_Caixa_Janeiro34[[#This Row],[Março]]</f>
        <v>0</v>
      </c>
      <c r="F175" s="62">
        <f>Fluxo_de_Caixa_Janeiro345[[#This Row],[ABRIL]]</f>
        <v>0</v>
      </c>
      <c r="G175" s="62">
        <f>Fluxo_de_Caixa_Janeiro3459[[#This Row],[MAIO]]</f>
        <v>0</v>
      </c>
      <c r="H175" s="62">
        <f>Fluxo_de_Caixa_Janeiro345911[[#This Row],[JUNHO]]</f>
        <v>0</v>
      </c>
      <c r="I175" s="35">
        <f>Fluxo_de_Caixa_Janeiro3459117[[#This Row],[JULHO]]</f>
        <v>0</v>
      </c>
      <c r="J175" s="62">
        <f>Fluxo_de_Caixa_Janeiro345911710[[#This Row],[AGOSTO]]</f>
        <v>0</v>
      </c>
      <c r="K175" s="62">
        <f>Fluxo_de_Caixa_Janeiro34591171012[[#This Row],[SETEMBRO]]</f>
        <v>0</v>
      </c>
      <c r="L175" s="62">
        <f>Fluxo_de_Caixa_Janeiro3459117101215[[#This Row],[OUTUBRO]]</f>
        <v>0</v>
      </c>
      <c r="M175" s="62">
        <f>Fluxo_de_Caixa_Janeiro345911710121516[[#This Row],[NOVEMBRO]]</f>
        <v>0</v>
      </c>
      <c r="N175" s="119">
        <f>Fluxo_de_Caixa_Janeiro34591171012151619[[#This Row],[DEZEMBRO]]</f>
        <v>0</v>
      </c>
      <c r="O175" s="224">
        <f>SUM(Fluxo_de_Caixa_Janeiro31020818[[#This Row],[Janeiro]:[Dezembro]])</f>
        <v>0</v>
      </c>
      <c r="P175" s="194">
        <f t="shared" si="10"/>
        <v>0</v>
      </c>
      <c r="Q175" s="194"/>
      <c r="R175" s="32" t="str">
        <f>IF(Fluxo_de_Caixa_Janeiro31020818[[#This Row],[% ACUMULADO  ANO 2026]]&lt;=Fluxo_de_Caixa_Janeiro31020818[[#This Row],[Coluna1]],"VERDADEIRO","FALSO")</f>
        <v>VERDADEIRO</v>
      </c>
    </row>
    <row r="176" spans="1:18" x14ac:dyDescent="0.25">
      <c r="B176" s="55" t="str">
        <f>Fluxo_de_Caixa_Janeiro[[#This Row],[Fluxo de Caixa 2026 CTR]]</f>
        <v>3.5.09. Sindicato Patronal / Entidades de apoio Comercio/Indus</v>
      </c>
      <c r="C176" s="35">
        <f>Fluxo_de_Caixa_Janeiro[[#This Row],[Janeiro]]</f>
        <v>0</v>
      </c>
      <c r="D176" s="62">
        <f>Fluxo_de_Caixa_Janeiro3[[#This Row],[Fevereiro]]</f>
        <v>0</v>
      </c>
      <c r="E176" s="62">
        <f>Fluxo_de_Caixa_Janeiro34[[#This Row],[Março]]</f>
        <v>0</v>
      </c>
      <c r="F176" s="62">
        <f>Fluxo_de_Caixa_Janeiro345[[#This Row],[ABRIL]]</f>
        <v>0</v>
      </c>
      <c r="G176" s="62">
        <f>Fluxo_de_Caixa_Janeiro3459[[#This Row],[MAIO]]</f>
        <v>0</v>
      </c>
      <c r="H176" s="62">
        <f>Fluxo_de_Caixa_Janeiro345911[[#This Row],[JUNHO]]</f>
        <v>0</v>
      </c>
      <c r="I176" s="35">
        <f>Fluxo_de_Caixa_Janeiro3459117[[#This Row],[JULHO]]</f>
        <v>0</v>
      </c>
      <c r="J176" s="62">
        <f>Fluxo_de_Caixa_Janeiro345911710[[#This Row],[AGOSTO]]</f>
        <v>0</v>
      </c>
      <c r="K176" s="62">
        <f>Fluxo_de_Caixa_Janeiro34591171012[[#This Row],[SETEMBRO]]</f>
        <v>0</v>
      </c>
      <c r="L176" s="62">
        <f>Fluxo_de_Caixa_Janeiro3459117101215[[#This Row],[OUTUBRO]]</f>
        <v>0</v>
      </c>
      <c r="M176" s="62">
        <f>Fluxo_de_Caixa_Janeiro345911710121516[[#This Row],[NOVEMBRO]]</f>
        <v>0</v>
      </c>
      <c r="N176" s="119">
        <f>Fluxo_de_Caixa_Janeiro34591171012151619[[#This Row],[DEZEMBRO]]</f>
        <v>0</v>
      </c>
      <c r="O176" s="224">
        <f>SUM(Fluxo_de_Caixa_Janeiro31020818[[#This Row],[Janeiro]:[Dezembro]])</f>
        <v>0</v>
      </c>
      <c r="P176" s="194">
        <f t="shared" si="10"/>
        <v>0</v>
      </c>
      <c r="Q176" s="194"/>
      <c r="R176" s="32" t="str">
        <f>IF(Fluxo_de_Caixa_Janeiro31020818[[#This Row],[% ACUMULADO  ANO 2026]]&lt;=Fluxo_de_Caixa_Janeiro31020818[[#This Row],[Coluna1]],"VERDADEIRO","FALSO")</f>
        <v>VERDADEIRO</v>
      </c>
    </row>
    <row r="177" spans="2:19" x14ac:dyDescent="0.25">
      <c r="B177" s="55" t="str">
        <f>Fluxo_de_Caixa_Janeiro[[#This Row],[Fluxo de Caixa 2026 CTR]]</f>
        <v>3.5.10. Honorarios Contabilidade</v>
      </c>
      <c r="C177" s="35">
        <f>Fluxo_de_Caixa_Janeiro[[#This Row],[Janeiro]]</f>
        <v>6218</v>
      </c>
      <c r="D177" s="62">
        <f>Fluxo_de_Caixa_Janeiro3[[#This Row],[Fevereiro]]</f>
        <v>9000</v>
      </c>
      <c r="E177" s="62">
        <f>Fluxo_de_Caixa_Janeiro34[[#This Row],[Março]]</f>
        <v>9000</v>
      </c>
      <c r="F177" s="62">
        <f>Fluxo_de_Caixa_Janeiro345[[#This Row],[ABRIL]]</f>
        <v>9000</v>
      </c>
      <c r="G177" s="406">
        <f>Fluxo_de_Caixa_Janeiro3459[[#This Row],[MAIO]]</f>
        <v>9000</v>
      </c>
      <c r="H177" s="62">
        <f>Fluxo_de_Caixa_Janeiro345911[[#This Row],[JUNHO]]</f>
        <v>0</v>
      </c>
      <c r="I177" s="35">
        <f>Fluxo_de_Caixa_Janeiro3459117[[#This Row],[JULHO]]</f>
        <v>0</v>
      </c>
      <c r="J177" s="62">
        <f>Fluxo_de_Caixa_Janeiro345911710[[#This Row],[AGOSTO]]</f>
        <v>0</v>
      </c>
      <c r="K177" s="62">
        <f>Fluxo_de_Caixa_Janeiro34591171012[[#This Row],[SETEMBRO]]</f>
        <v>0</v>
      </c>
      <c r="L177" s="62">
        <f>Fluxo_de_Caixa_Janeiro3459117101215[[#This Row],[OUTUBRO]]</f>
        <v>0</v>
      </c>
      <c r="M177" s="62">
        <f>Fluxo_de_Caixa_Janeiro345911710121516[[#This Row],[NOVEMBRO]]</f>
        <v>0</v>
      </c>
      <c r="N177" s="119">
        <f>Fluxo_de_Caixa_Janeiro34591171012151619[[#This Row],[DEZEMBRO]]</f>
        <v>0</v>
      </c>
      <c r="O177" s="224">
        <f>SUM(Fluxo_de_Caixa_Janeiro31020818[[#This Row],[Janeiro]:[Dezembro]])</f>
        <v>42218</v>
      </c>
      <c r="P177" s="194">
        <f t="shared" si="10"/>
        <v>9.109614128112592E-3</v>
      </c>
      <c r="Q177" s="194"/>
      <c r="R177" s="32" t="str">
        <f>IF(Fluxo_de_Caixa_Janeiro31020818[[#This Row],[% ACUMULADO  ANO 2026]]&lt;=Fluxo_de_Caixa_Janeiro31020818[[#This Row],[Coluna1]],"VERDADEIRO","FALSO")</f>
        <v>FALSO</v>
      </c>
    </row>
    <row r="178" spans="2:19" ht="15.75" thickBot="1" x14ac:dyDescent="0.3">
      <c r="B178" s="55" t="str">
        <f>Fluxo_de_Caixa_Janeiro[[#This Row],[Fluxo de Caixa 2026 CTR]]</f>
        <v>3.5.10.01. DECIMO TERCEIRO CONTABILIDADE</v>
      </c>
      <c r="C178" s="35">
        <f>Fluxo_de_Caixa_Janeiro[[#This Row],[Janeiro]]</f>
        <v>0</v>
      </c>
      <c r="D178" s="62">
        <f>Fluxo_de_Caixa_Janeiro3[[#This Row],[Fevereiro]]</f>
        <v>0</v>
      </c>
      <c r="E178" s="62">
        <f>Fluxo_de_Caixa_Janeiro34[[#This Row],[Março]]</f>
        <v>0</v>
      </c>
      <c r="F178" s="62">
        <f>Fluxo_de_Caixa_Janeiro345[[#This Row],[ABRIL]]</f>
        <v>0</v>
      </c>
      <c r="G178" s="62">
        <f>Fluxo_de_Caixa_Janeiro3459[[#This Row],[MAIO]]</f>
        <v>0</v>
      </c>
      <c r="H178" s="62">
        <f>Fluxo_de_Caixa_Janeiro345911[[#This Row],[JUNHO]]</f>
        <v>0</v>
      </c>
      <c r="I178" s="35">
        <f>Fluxo_de_Caixa_Janeiro3459117[[#This Row],[JULHO]]</f>
        <v>0</v>
      </c>
      <c r="J178" s="62">
        <f>Fluxo_de_Caixa_Janeiro345911710[[#This Row],[AGOSTO]]</f>
        <v>0</v>
      </c>
      <c r="K178" s="62">
        <f>Fluxo_de_Caixa_Janeiro34591171012[[#This Row],[SETEMBRO]]</f>
        <v>0</v>
      </c>
      <c r="L178" s="62">
        <f>Fluxo_de_Caixa_Janeiro3459117101215[[#This Row],[OUTUBRO]]</f>
        <v>0</v>
      </c>
      <c r="M178" s="62">
        <f>Fluxo_de_Caixa_Janeiro345911710121516[[#This Row],[NOVEMBRO]]</f>
        <v>0</v>
      </c>
      <c r="N178" s="119">
        <f>Fluxo_de_Caixa_Janeiro34591171012151619[[#This Row],[DEZEMBRO]]</f>
        <v>0</v>
      </c>
      <c r="O178" s="224">
        <f>SUM(Fluxo_de_Caixa_Janeiro31020818[[#This Row],[Janeiro]:[Dezembro]])</f>
        <v>0</v>
      </c>
      <c r="P178" s="194">
        <f t="shared" si="10"/>
        <v>0</v>
      </c>
      <c r="Q178" s="194"/>
      <c r="R178" s="32" t="str">
        <f>IF(Fluxo_de_Caixa_Janeiro31020818[[#This Row],[% ACUMULADO  ANO 2026]]&lt;=Fluxo_de_Caixa_Janeiro31020818[[#This Row],[Coluna1]],"VERDADEIRO","FALSO")</f>
        <v>VERDADEIRO</v>
      </c>
      <c r="S178" s="404">
        <v>-6218</v>
      </c>
    </row>
    <row r="179" spans="2:19" hidden="1" x14ac:dyDescent="0.25">
      <c r="B179" s="55">
        <f>Fluxo_de_Caixa_Janeiro[[#This Row],[Fluxo de Caixa 2026 CTR]]</f>
        <v>0</v>
      </c>
      <c r="C179" s="35">
        <f>Fluxo_de_Caixa_Janeiro[[#This Row],[Janeiro]]</f>
        <v>0</v>
      </c>
      <c r="D179" s="62">
        <f>Fluxo_de_Caixa_Janeiro3[[#This Row],[Fevereiro]]</f>
        <v>0</v>
      </c>
      <c r="E179" s="62">
        <f>Fluxo_de_Caixa_Janeiro34[[#This Row],[Março]]</f>
        <v>0</v>
      </c>
      <c r="F179" s="62">
        <f>Fluxo_de_Caixa_Janeiro345[[#This Row],[ABRIL]]</f>
        <v>0</v>
      </c>
      <c r="G179" s="62">
        <f>Fluxo_de_Caixa_Janeiro3459[[#This Row],[MAIO]]</f>
        <v>0</v>
      </c>
      <c r="H179" s="62">
        <f>Fluxo_de_Caixa_Janeiro345911[[#This Row],[JUNHO]]</f>
        <v>0</v>
      </c>
      <c r="I179" s="35">
        <f>Fluxo_de_Caixa_Janeiro3459117[[#This Row],[JULHO]]</f>
        <v>0</v>
      </c>
      <c r="J179" s="62">
        <f>Fluxo_de_Caixa_Janeiro345911710[[#This Row],[AGOSTO]]</f>
        <v>0</v>
      </c>
      <c r="K179" s="62">
        <f>Fluxo_de_Caixa_Janeiro34591171012[[#This Row],[SETEMBRO]]</f>
        <v>0</v>
      </c>
      <c r="L179" s="62">
        <f>Fluxo_de_Caixa_Janeiro3459117101215[[#This Row],[OUTUBRO]]</f>
        <v>0</v>
      </c>
      <c r="M179" s="62">
        <f>Fluxo_de_Caixa_Janeiro345911710121516[[#This Row],[NOVEMBRO]]</f>
        <v>0</v>
      </c>
      <c r="N179" s="119">
        <f>Fluxo_de_Caixa_Janeiro34591171012151619[[#This Row],[DEZEMBRO]]</f>
        <v>0</v>
      </c>
      <c r="O179" s="224">
        <f>SUM(Fluxo_de_Caixa_Janeiro31020818[[#This Row],[Janeiro]:[Dezembro]])</f>
        <v>0</v>
      </c>
      <c r="P179" s="194">
        <f t="shared" si="10"/>
        <v>0</v>
      </c>
      <c r="Q179" s="194"/>
      <c r="R179" s="32" t="str">
        <f>IF(Fluxo_de_Caixa_Janeiro31020818[[#This Row],[% ACUMULADO  ANO 2026]]&lt;=Fluxo_de_Caixa_Janeiro31020818[[#This Row],[Coluna1]],"VERDADEIRO","FALSO")</f>
        <v>VERDADEIRO</v>
      </c>
    </row>
    <row r="180" spans="2:19" hidden="1" x14ac:dyDescent="0.25">
      <c r="B180" s="55">
        <f>Fluxo_de_Caixa_Janeiro[[#This Row],[Fluxo de Caixa 2026 CTR]]</f>
        <v>0</v>
      </c>
      <c r="C180" s="35">
        <f>Fluxo_de_Caixa_Janeiro[[#This Row],[Janeiro]]</f>
        <v>0</v>
      </c>
      <c r="D180" s="62">
        <f>Fluxo_de_Caixa_Janeiro3[[#This Row],[Fevereiro]]</f>
        <v>0</v>
      </c>
      <c r="E180" s="62">
        <f>Fluxo_de_Caixa_Janeiro34[[#This Row],[Março]]</f>
        <v>0</v>
      </c>
      <c r="F180" s="62">
        <f>Fluxo_de_Caixa_Janeiro345[[#This Row],[ABRIL]]</f>
        <v>0</v>
      </c>
      <c r="G180" s="62">
        <f>Fluxo_de_Caixa_Janeiro3459[[#This Row],[MAIO]]</f>
        <v>0</v>
      </c>
      <c r="H180" s="62">
        <f>Fluxo_de_Caixa_Janeiro345911[[#This Row],[JUNHO]]</f>
        <v>0</v>
      </c>
      <c r="I180" s="35">
        <f>Fluxo_de_Caixa_Janeiro3459117[[#This Row],[JULHO]]</f>
        <v>0</v>
      </c>
      <c r="J180" s="62">
        <f>Fluxo_de_Caixa_Janeiro345911710[[#This Row],[AGOSTO]]</f>
        <v>0</v>
      </c>
      <c r="K180" s="62">
        <f>Fluxo_de_Caixa_Janeiro34591171012[[#This Row],[SETEMBRO]]</f>
        <v>0</v>
      </c>
      <c r="L180" s="62">
        <f>Fluxo_de_Caixa_Janeiro3459117101215[[#This Row],[OUTUBRO]]</f>
        <v>0</v>
      </c>
      <c r="M180" s="62">
        <f>Fluxo_de_Caixa_Janeiro345911710121516[[#This Row],[NOVEMBRO]]</f>
        <v>0</v>
      </c>
      <c r="N180" s="119">
        <f>Fluxo_de_Caixa_Janeiro34591171012151619[[#This Row],[DEZEMBRO]]</f>
        <v>0</v>
      </c>
      <c r="O180" s="224">
        <f>SUM(Fluxo_de_Caixa_Janeiro31020818[[#This Row],[Janeiro]:[Dezembro]])</f>
        <v>0</v>
      </c>
      <c r="P180" s="194">
        <f t="shared" si="10"/>
        <v>0</v>
      </c>
      <c r="Q180" s="194"/>
      <c r="R180" s="32" t="str">
        <f>IF(Fluxo_de_Caixa_Janeiro31020818[[#This Row],[% ACUMULADO  ANO 2026]]&lt;=Fluxo_de_Caixa_Janeiro31020818[[#This Row],[Coluna1]],"VERDADEIRO","FALSO")</f>
        <v>VERDADEIRO</v>
      </c>
    </row>
    <row r="181" spans="2:19" ht="15.75" hidden="1" thickBot="1" x14ac:dyDescent="0.3">
      <c r="B181" s="55">
        <f>Fluxo_de_Caixa_Janeiro[[#This Row],[Fluxo de Caixa 2026 CTR]]</f>
        <v>0</v>
      </c>
      <c r="C181" s="35">
        <f>Fluxo_de_Caixa_Janeiro[[#This Row],[Janeiro]]</f>
        <v>0</v>
      </c>
      <c r="D181" s="62">
        <f>Fluxo_de_Caixa_Janeiro3[[#This Row],[Fevereiro]]</f>
        <v>0</v>
      </c>
      <c r="E181" s="62">
        <f>Fluxo_de_Caixa_Janeiro34[[#This Row],[Março]]</f>
        <v>0</v>
      </c>
      <c r="F181" s="62">
        <f>Fluxo_de_Caixa_Janeiro345[[#This Row],[ABRIL]]</f>
        <v>0</v>
      </c>
      <c r="G181" s="62">
        <f>Fluxo_de_Caixa_Janeiro3459[[#This Row],[MAIO]]</f>
        <v>0</v>
      </c>
      <c r="H181" s="62">
        <f>Fluxo_de_Caixa_Janeiro345911[[#This Row],[JUNHO]]</f>
        <v>0</v>
      </c>
      <c r="I181" s="35">
        <f>Fluxo_de_Caixa_Janeiro3459117[[#This Row],[JULHO]]</f>
        <v>0</v>
      </c>
      <c r="J181" s="62">
        <f>Fluxo_de_Caixa_Janeiro345911710[[#This Row],[AGOSTO]]</f>
        <v>0</v>
      </c>
      <c r="K181" s="62">
        <f>Fluxo_de_Caixa_Janeiro34591171012[[#This Row],[SETEMBRO]]</f>
        <v>0</v>
      </c>
      <c r="L181" s="62">
        <f>Fluxo_de_Caixa_Janeiro3459117101215[[#This Row],[OUTUBRO]]</f>
        <v>0</v>
      </c>
      <c r="M181" s="62">
        <f>Fluxo_de_Caixa_Janeiro345911710121516[[#This Row],[NOVEMBRO]]</f>
        <v>0</v>
      </c>
      <c r="N181" s="119">
        <f>Fluxo_de_Caixa_Janeiro34591171012151619[[#This Row],[DEZEMBRO]]</f>
        <v>0</v>
      </c>
      <c r="O181" s="224">
        <f>SUM(Fluxo_de_Caixa_Janeiro31020818[[#This Row],[Janeiro]:[Dezembro]])</f>
        <v>0</v>
      </c>
      <c r="P181" s="194">
        <f t="shared" si="10"/>
        <v>0</v>
      </c>
      <c r="Q181" s="194"/>
      <c r="R181" s="32" t="str">
        <f>IF(Fluxo_de_Caixa_Janeiro31020818[[#This Row],[% ACUMULADO  ANO 2026]]&lt;=Fluxo_de_Caixa_Janeiro31020818[[#This Row],[Coluna1]],"VERDADEIRO","FALSO")</f>
        <v>VERDADEIRO</v>
      </c>
    </row>
    <row r="182" spans="2:19" ht="19.5" thickBot="1" x14ac:dyDescent="0.35">
      <c r="B182" s="277" t="str">
        <f>Fluxo_de_Caixa_Janeiro[[#This Row],[Fluxo de Caixa 2026 CTR]]</f>
        <v>3.6. DESPESAS FINANCEIRAS</v>
      </c>
      <c r="C182" s="158">
        <f>Fluxo_de_Caixa_Janeiro[[#This Row],[Janeiro]]</f>
        <v>-23254.140000000003</v>
      </c>
      <c r="D182" s="97">
        <f>Fluxo_de_Caixa_Janeiro3[[#This Row],[Fevereiro]]</f>
        <v>-31980.16</v>
      </c>
      <c r="E182" s="97">
        <f>Fluxo_de_Caixa_Janeiro34[[#This Row],[Março]]</f>
        <v>-68559.16</v>
      </c>
      <c r="F182" s="97">
        <f>Fluxo_de_Caixa_Janeiro345[[#This Row],[ABRIL]]</f>
        <v>-23958.309999999998</v>
      </c>
      <c r="G182" s="97">
        <f>Fluxo_de_Caixa_Janeiro3459[[#This Row],[MAIO]]</f>
        <v>-49700.920000000006</v>
      </c>
      <c r="H182" s="97">
        <f>Fluxo_de_Caixa_Janeiro345911[[#This Row],[JUNHO]]</f>
        <v>0</v>
      </c>
      <c r="I182" s="158">
        <f>Fluxo_de_Caixa_Janeiro3459117[[#This Row],[JULHO]]</f>
        <v>0</v>
      </c>
      <c r="J182" s="97">
        <f>Fluxo_de_Caixa_Janeiro345911710[[#This Row],[AGOSTO]]</f>
        <v>0</v>
      </c>
      <c r="K182" s="97">
        <f>Fluxo_de_Caixa_Janeiro34591171012[[#This Row],[SETEMBRO]]</f>
        <v>0</v>
      </c>
      <c r="L182" s="97">
        <f>Fluxo_de_Caixa_Janeiro3459117101215[[#This Row],[OUTUBRO]]</f>
        <v>0</v>
      </c>
      <c r="M182" s="97">
        <f>Fluxo_de_Caixa_Janeiro345911710121516[[#This Row],[NOVEMBRO]]</f>
        <v>0</v>
      </c>
      <c r="N182" s="129">
        <f>Fluxo_de_Caixa_Janeiro34591171012151619[[#This Row],[DEZEMBRO]]</f>
        <v>0</v>
      </c>
      <c r="O182" s="226">
        <f>SUM(Fluxo_de_Caixa_Janeiro31020818[[#This Row],[Janeiro]:[Dezembro]])</f>
        <v>-197452.69000000003</v>
      </c>
      <c r="P182" s="144">
        <f>-IFERROR(O182/$O$27,"0,00")</f>
        <v>4.2605471942248237E-2</v>
      </c>
      <c r="Q182" s="144"/>
      <c r="R182" s="32" t="str">
        <f>IF(Fluxo_de_Caixa_Janeiro31020818[[#This Row],[% ACUMULADO  ANO 2026]]&lt;=Fluxo_de_Caixa_Janeiro31020818[[#This Row],[Coluna1]],"VERDADEIRO","FALSO")</f>
        <v>FALSO</v>
      </c>
      <c r="S182" s="637">
        <v>-5387</v>
      </c>
    </row>
    <row r="183" spans="2:19" x14ac:dyDescent="0.25">
      <c r="B183" s="386" t="str">
        <f>Fluxo_de_Caixa_Janeiro[[#This Row],[Fluxo de Caixa 2026 CTR]]</f>
        <v xml:space="preserve">3.6.01. Tarifas Bancárias </v>
      </c>
      <c r="C183" s="36">
        <f>Fluxo_de_Caixa_Janeiro[[#This Row],[Janeiro]]</f>
        <v>1154.2700000000002</v>
      </c>
      <c r="D183" s="82">
        <f>Fluxo_de_Caixa_Janeiro3[[#This Row],[Fevereiro]]</f>
        <v>1343.4800000000002</v>
      </c>
      <c r="E183" s="82">
        <f>Fluxo_de_Caixa_Janeiro34[[#This Row],[Março]]</f>
        <v>1516.4700000000003</v>
      </c>
      <c r="F183" s="82">
        <f>Fluxo_de_Caixa_Janeiro345[[#This Row],[ABRIL]]</f>
        <v>1650.93</v>
      </c>
      <c r="G183" s="82">
        <f>Fluxo_de_Caixa_Janeiro3459[[#This Row],[MAIO]]</f>
        <v>1686.44</v>
      </c>
      <c r="H183" s="82">
        <f>Fluxo_de_Caixa_Janeiro345911[[#This Row],[JUNHO]]</f>
        <v>0</v>
      </c>
      <c r="I183" s="36">
        <f>Fluxo_de_Caixa_Janeiro3459117[[#This Row],[JULHO]]</f>
        <v>0</v>
      </c>
      <c r="J183" s="82">
        <f>Fluxo_de_Caixa_Janeiro345911710[[#This Row],[AGOSTO]]</f>
        <v>0</v>
      </c>
      <c r="K183" s="82">
        <f>Fluxo_de_Caixa_Janeiro34591171012[[#This Row],[SETEMBRO]]</f>
        <v>0</v>
      </c>
      <c r="L183" s="82">
        <f>Fluxo_de_Caixa_Janeiro3459117101215[[#This Row],[OUTUBRO]]</f>
        <v>0</v>
      </c>
      <c r="M183" s="82">
        <f>Fluxo_de_Caixa_Janeiro345911710121516[[#This Row],[NOVEMBRO]]</f>
        <v>0</v>
      </c>
      <c r="N183" s="120">
        <f>Fluxo_de_Caixa_Janeiro34591171012151619[[#This Row],[DEZEMBRO]]</f>
        <v>0</v>
      </c>
      <c r="O183" s="225">
        <f>SUM(Fluxo_de_Caixa_Janeiro31020818[[#This Row],[Janeiro]:[Dezembro]])</f>
        <v>7351.59</v>
      </c>
      <c r="P183" s="195">
        <f t="shared" ref="P183:P199" si="11">IFERROR(O183/$O$27,"0,00%")</f>
        <v>1.586293716615928E-3</v>
      </c>
      <c r="Q183" s="195"/>
      <c r="R183" s="32" t="str">
        <f>IF(Fluxo_de_Caixa_Janeiro31020818[[#This Row],[% ACUMULADO  ANO 2026]]&lt;=Fluxo_de_Caixa_Janeiro31020818[[#This Row],[Coluna1]],"VERDADEIRO","FALSO")</f>
        <v>FALSO</v>
      </c>
    </row>
    <row r="184" spans="2:19" x14ac:dyDescent="0.25">
      <c r="B184" s="385" t="str">
        <f>Fluxo_de_Caixa_Janeiro[[#This Row],[Fluxo de Caixa 2026 CTR]]</f>
        <v>3.6.02. IOF</v>
      </c>
      <c r="C184" s="357">
        <f>Fluxo_de_Caixa_Janeiro[[#This Row],[Janeiro]]</f>
        <v>873.47</v>
      </c>
      <c r="D184" s="306">
        <f>Fluxo_de_Caixa_Janeiro3[[#This Row],[Fevereiro]]</f>
        <v>456.5</v>
      </c>
      <c r="E184" s="306">
        <f>Fluxo_de_Caixa_Janeiro34[[#This Row],[Março]]</f>
        <v>386.78</v>
      </c>
      <c r="F184" s="306">
        <f>Fluxo_de_Caixa_Janeiro345[[#This Row],[ABRIL]]</f>
        <v>434.42</v>
      </c>
      <c r="G184" s="306">
        <f>Fluxo_de_Caixa_Janeiro3459[[#This Row],[MAIO]]</f>
        <v>0</v>
      </c>
      <c r="H184" s="306">
        <f>Fluxo_de_Caixa_Janeiro345911[[#This Row],[JUNHO]]</f>
        <v>0</v>
      </c>
      <c r="I184" s="357">
        <f>Fluxo_de_Caixa_Janeiro3459117[[#This Row],[JULHO]]</f>
        <v>0</v>
      </c>
      <c r="J184" s="306">
        <f>Fluxo_de_Caixa_Janeiro345911710[[#This Row],[AGOSTO]]</f>
        <v>0</v>
      </c>
      <c r="K184" s="306">
        <f>Fluxo_de_Caixa_Janeiro34591171012[[#This Row],[SETEMBRO]]</f>
        <v>0</v>
      </c>
      <c r="L184" s="306">
        <f>Fluxo_de_Caixa_Janeiro3459117101215[[#This Row],[OUTUBRO]]</f>
        <v>0</v>
      </c>
      <c r="M184" s="306">
        <f>Fluxo_de_Caixa_Janeiro345911710121516[[#This Row],[NOVEMBRO]]</f>
        <v>0</v>
      </c>
      <c r="N184" s="306">
        <f>Fluxo_de_Caixa_Janeiro34591171012151619[[#This Row],[DEZEMBRO]]</f>
        <v>0</v>
      </c>
      <c r="O184" s="225">
        <f>SUM(Fluxo_de_Caixa_Janeiro31020818[[#This Row],[Janeiro]:[Dezembro]])</f>
        <v>2151.17</v>
      </c>
      <c r="P184" s="195">
        <f t="shared" si="11"/>
        <v>4.6416998967198744E-4</v>
      </c>
      <c r="Q184" s="195"/>
      <c r="R184" s="32" t="str">
        <f>IF(Fluxo_de_Caixa_Janeiro31020818[[#This Row],[% ACUMULADO  ANO 2026]]&lt;=Fluxo_de_Caixa_Janeiro31020818[[#This Row],[Coluna1]],"VERDADEIRO","FALSO")</f>
        <v>FALSO</v>
      </c>
    </row>
    <row r="185" spans="2:19" x14ac:dyDescent="0.25">
      <c r="B185" s="385" t="str">
        <f>Fluxo_de_Caixa_Janeiro[[#This Row],[Fluxo de Caixa 2026 CTR]]</f>
        <v>3.6.03. Perdas e Devedores Duvidosos</v>
      </c>
      <c r="C185" s="357">
        <f>Fluxo_de_Caixa_Janeiro[[#This Row],[Janeiro]]</f>
        <v>0</v>
      </c>
      <c r="D185" s="306">
        <f>Fluxo_de_Caixa_Janeiro3[[#This Row],[Fevereiro]]</f>
        <v>0</v>
      </c>
      <c r="E185" s="306">
        <f>Fluxo_de_Caixa_Janeiro34[[#This Row],[Março]]</f>
        <v>0</v>
      </c>
      <c r="F185" s="306">
        <f>Fluxo_de_Caixa_Janeiro345[[#This Row],[ABRIL]]</f>
        <v>0</v>
      </c>
      <c r="G185" s="306">
        <f>Fluxo_de_Caixa_Janeiro3459[[#This Row],[MAIO]]</f>
        <v>0</v>
      </c>
      <c r="H185" s="306">
        <f>Fluxo_de_Caixa_Janeiro345911[[#This Row],[JUNHO]]</f>
        <v>0</v>
      </c>
      <c r="I185" s="357">
        <f>Fluxo_de_Caixa_Janeiro3459117[[#This Row],[JULHO]]</f>
        <v>0</v>
      </c>
      <c r="J185" s="306">
        <f>Fluxo_de_Caixa_Janeiro345911710[[#This Row],[AGOSTO]]</f>
        <v>0</v>
      </c>
      <c r="K185" s="306">
        <f>Fluxo_de_Caixa_Janeiro34591171012[[#This Row],[SETEMBRO]]</f>
        <v>0</v>
      </c>
      <c r="L185" s="306">
        <f>Fluxo_de_Caixa_Janeiro3459117101215[[#This Row],[OUTUBRO]]</f>
        <v>0</v>
      </c>
      <c r="M185" s="306">
        <f>Fluxo_de_Caixa_Janeiro345911710121516[[#This Row],[NOVEMBRO]]</f>
        <v>0</v>
      </c>
      <c r="N185" s="306">
        <f>Fluxo_de_Caixa_Janeiro34591171012151619[[#This Row],[DEZEMBRO]]</f>
        <v>0</v>
      </c>
      <c r="O185" s="225">
        <f>SUM(Fluxo_de_Caixa_Janeiro31020818[[#This Row],[Janeiro]:[Dezembro]])</f>
        <v>0</v>
      </c>
      <c r="P185" s="195">
        <f t="shared" si="11"/>
        <v>0</v>
      </c>
      <c r="Q185" s="195"/>
      <c r="R185" s="32" t="str">
        <f>IF(Fluxo_de_Caixa_Janeiro31020818[[#This Row],[% ACUMULADO  ANO 2026]]&lt;=Fluxo_de_Caixa_Janeiro31020818[[#This Row],[Coluna1]],"VERDADEIRO","FALSO")</f>
        <v>VERDADEIRO</v>
      </c>
    </row>
    <row r="186" spans="2:19" hidden="1" x14ac:dyDescent="0.25">
      <c r="B186" s="385">
        <f>Fluxo_de_Caixa_Janeiro[[#This Row],[Fluxo de Caixa 2026 CTR]]</f>
        <v>0</v>
      </c>
      <c r="C186" s="357">
        <f>Fluxo_de_Caixa_Janeiro[[#This Row],[Janeiro]]</f>
        <v>0</v>
      </c>
      <c r="D186" s="306">
        <f>Fluxo_de_Caixa_Janeiro3[[#This Row],[Fevereiro]]</f>
        <v>0</v>
      </c>
      <c r="E186" s="306">
        <f>Fluxo_de_Caixa_Janeiro34[[#This Row],[Março]]</f>
        <v>0</v>
      </c>
      <c r="F186" s="306">
        <f>Fluxo_de_Caixa_Janeiro345[[#This Row],[ABRIL]]</f>
        <v>0</v>
      </c>
      <c r="G186" s="306">
        <f>Fluxo_de_Caixa_Janeiro3459[[#This Row],[MAIO]]</f>
        <v>0</v>
      </c>
      <c r="H186" s="306">
        <f>Fluxo_de_Caixa_Janeiro345911[[#This Row],[JUNHO]]</f>
        <v>0</v>
      </c>
      <c r="I186" s="357">
        <f>Fluxo_de_Caixa_Janeiro3459117[[#This Row],[JULHO]]</f>
        <v>0</v>
      </c>
      <c r="J186" s="306">
        <f>Fluxo_de_Caixa_Janeiro345911710[[#This Row],[AGOSTO]]</f>
        <v>0</v>
      </c>
      <c r="K186" s="306">
        <f>Fluxo_de_Caixa_Janeiro34591171012[[#This Row],[SETEMBRO]]</f>
        <v>0</v>
      </c>
      <c r="L186" s="306">
        <f>Fluxo_de_Caixa_Janeiro3459117101215[[#This Row],[OUTUBRO]]</f>
        <v>0</v>
      </c>
      <c r="M186" s="306">
        <f>Fluxo_de_Caixa_Janeiro345911710121516[[#This Row],[NOVEMBRO]]</f>
        <v>0</v>
      </c>
      <c r="N186" s="306">
        <f>Fluxo_de_Caixa_Janeiro34591171012151619[[#This Row],[DEZEMBRO]]</f>
        <v>0</v>
      </c>
      <c r="O186" s="225">
        <f>SUM(Fluxo_de_Caixa_Janeiro31020818[[#This Row],[Janeiro]:[Dezembro]])</f>
        <v>0</v>
      </c>
      <c r="P186" s="195">
        <f t="shared" si="11"/>
        <v>0</v>
      </c>
      <c r="Q186" s="195"/>
      <c r="R186" s="32" t="str">
        <f>IF(Fluxo_de_Caixa_Janeiro31020818[[#This Row],[% ACUMULADO  ANO 2026]]&lt;=Fluxo_de_Caixa_Janeiro31020818[[#This Row],[Coluna1]],"VERDADEIRO","FALSO")</f>
        <v>VERDADEIRO</v>
      </c>
    </row>
    <row r="187" spans="2:19" x14ac:dyDescent="0.25">
      <c r="B187" s="385" t="str">
        <f>Fluxo_de_Caixa_Janeiro[[#This Row],[Fluxo de Caixa 2026 CTR]]</f>
        <v>3.6.05.MULTA E JUROS DE MORA PAGAMENTO</v>
      </c>
      <c r="C187" s="357">
        <f>Fluxo_de_Caixa_Janeiro[[#This Row],[Janeiro]]</f>
        <v>0</v>
      </c>
      <c r="D187" s="306">
        <f>Fluxo_de_Caixa_Janeiro3[[#This Row],[Fevereiro]]</f>
        <v>0</v>
      </c>
      <c r="E187" s="306">
        <f>Fluxo_de_Caixa_Janeiro34[[#This Row],[Março]]</f>
        <v>0</v>
      </c>
      <c r="F187" s="306">
        <f>Fluxo_de_Caixa_Janeiro345[[#This Row],[ABRIL]]</f>
        <v>0</v>
      </c>
      <c r="G187" s="306">
        <f>Fluxo_de_Caixa_Janeiro3459[[#This Row],[MAIO]]</f>
        <v>0</v>
      </c>
      <c r="H187" s="306">
        <f>Fluxo_de_Caixa_Janeiro345911[[#This Row],[JUNHO]]</f>
        <v>0</v>
      </c>
      <c r="I187" s="357">
        <f>Fluxo_de_Caixa_Janeiro3459117[[#This Row],[JULHO]]</f>
        <v>0</v>
      </c>
      <c r="J187" s="306">
        <f>Fluxo_de_Caixa_Janeiro345911710[[#This Row],[AGOSTO]]</f>
        <v>0</v>
      </c>
      <c r="K187" s="306">
        <f>Fluxo_de_Caixa_Janeiro34591171012[[#This Row],[SETEMBRO]]</f>
        <v>0</v>
      </c>
      <c r="L187" s="306">
        <f>Fluxo_de_Caixa_Janeiro3459117101215[[#This Row],[OUTUBRO]]</f>
        <v>0</v>
      </c>
      <c r="M187" s="306">
        <f>Fluxo_de_Caixa_Janeiro345911710121516[[#This Row],[NOVEMBRO]]</f>
        <v>0</v>
      </c>
      <c r="N187" s="306">
        <f>Fluxo_de_Caixa_Janeiro34591171012151619[[#This Row],[DEZEMBRO]]</f>
        <v>0</v>
      </c>
      <c r="O187" s="225">
        <f>SUM(Fluxo_de_Caixa_Janeiro31020818[[#This Row],[Janeiro]:[Dezembro]])</f>
        <v>0</v>
      </c>
      <c r="P187" s="195">
        <f t="shared" si="11"/>
        <v>0</v>
      </c>
      <c r="Q187" s="195"/>
      <c r="R187" s="32" t="str">
        <f>IF(Fluxo_de_Caixa_Janeiro31020818[[#This Row],[% ACUMULADO  ANO 2026]]&lt;=Fluxo_de_Caixa_Janeiro31020818[[#This Row],[Coluna1]],"VERDADEIRO","FALSO")</f>
        <v>VERDADEIRO</v>
      </c>
    </row>
    <row r="188" spans="2:19" hidden="1" x14ac:dyDescent="0.25">
      <c r="B188" s="385">
        <f>Fluxo_de_Caixa_Janeiro[[#This Row],[Fluxo de Caixa 2026 CTR]]</f>
        <v>0</v>
      </c>
      <c r="C188" s="357">
        <f>Fluxo_de_Caixa_Janeiro[[#This Row],[Janeiro]]</f>
        <v>0</v>
      </c>
      <c r="D188" s="306">
        <f>Fluxo_de_Caixa_Janeiro3[[#This Row],[Fevereiro]]</f>
        <v>0</v>
      </c>
      <c r="E188" s="306">
        <f>Fluxo_de_Caixa_Janeiro34[[#This Row],[Março]]</f>
        <v>0</v>
      </c>
      <c r="F188" s="306">
        <f>Fluxo_de_Caixa_Janeiro345[[#This Row],[ABRIL]]</f>
        <v>0</v>
      </c>
      <c r="G188" s="306">
        <f>Fluxo_de_Caixa_Janeiro3459[[#This Row],[MAIO]]</f>
        <v>0</v>
      </c>
      <c r="H188" s="306">
        <f>Fluxo_de_Caixa_Janeiro345911[[#This Row],[JUNHO]]</f>
        <v>0</v>
      </c>
      <c r="I188" s="357">
        <f>Fluxo_de_Caixa_Janeiro3459117[[#This Row],[JULHO]]</f>
        <v>0</v>
      </c>
      <c r="J188" s="306">
        <f>Fluxo_de_Caixa_Janeiro345911710[[#This Row],[AGOSTO]]</f>
        <v>0</v>
      </c>
      <c r="K188" s="306">
        <f>Fluxo_de_Caixa_Janeiro34591171012[[#This Row],[SETEMBRO]]</f>
        <v>0</v>
      </c>
      <c r="L188" s="306">
        <f>Fluxo_de_Caixa_Janeiro3459117101215[[#This Row],[OUTUBRO]]</f>
        <v>0</v>
      </c>
      <c r="M188" s="306">
        <f>Fluxo_de_Caixa_Janeiro345911710121516[[#This Row],[NOVEMBRO]]</f>
        <v>0</v>
      </c>
      <c r="N188" s="306">
        <f>Fluxo_de_Caixa_Janeiro34591171012151619[[#This Row],[DEZEMBRO]]</f>
        <v>0</v>
      </c>
      <c r="O188" s="225">
        <f>SUM(Fluxo_de_Caixa_Janeiro31020818[[#This Row],[Janeiro]:[Dezembro]])</f>
        <v>0</v>
      </c>
      <c r="P188" s="195">
        <f t="shared" si="11"/>
        <v>0</v>
      </c>
      <c r="Q188" s="195"/>
      <c r="R188" s="32" t="str">
        <f>IF(Fluxo_de_Caixa_Janeiro31020818[[#This Row],[% ACUMULADO  ANO 2026]]&lt;=Fluxo_de_Caixa_Janeiro31020818[[#This Row],[Coluna1]],"VERDADEIRO","FALSO")</f>
        <v>VERDADEIRO</v>
      </c>
    </row>
    <row r="189" spans="2:19" x14ac:dyDescent="0.25">
      <c r="B189" s="385" t="str">
        <f>Fluxo_de_Caixa_Janeiro[[#This Row],[Fluxo de Caixa 2026 CTR]]</f>
        <v>3.6.07.FALTA ACERTO CAIXA</v>
      </c>
      <c r="C189" s="357">
        <f>Fluxo_de_Caixa_Janeiro[[#This Row],[Janeiro]]</f>
        <v>0</v>
      </c>
      <c r="D189" s="306">
        <f>Fluxo_de_Caixa_Janeiro3[[#This Row],[Fevereiro]]</f>
        <v>0</v>
      </c>
      <c r="E189" s="306">
        <f>Fluxo_de_Caixa_Janeiro34[[#This Row],[Março]]</f>
        <v>0</v>
      </c>
      <c r="F189" s="306">
        <f>Fluxo_de_Caixa_Janeiro345[[#This Row],[ABRIL]]</f>
        <v>0</v>
      </c>
      <c r="G189" s="306">
        <f>Fluxo_de_Caixa_Janeiro3459[[#This Row],[MAIO]]</f>
        <v>0</v>
      </c>
      <c r="H189" s="306">
        <f>Fluxo_de_Caixa_Janeiro345911[[#This Row],[JUNHO]]</f>
        <v>0</v>
      </c>
      <c r="I189" s="357">
        <f>Fluxo_de_Caixa_Janeiro3459117[[#This Row],[JULHO]]</f>
        <v>0</v>
      </c>
      <c r="J189" s="306">
        <f>Fluxo_de_Caixa_Janeiro345911710[[#This Row],[AGOSTO]]</f>
        <v>0</v>
      </c>
      <c r="K189" s="306">
        <f>Fluxo_de_Caixa_Janeiro34591171012[[#This Row],[SETEMBRO]]</f>
        <v>0</v>
      </c>
      <c r="L189" s="306">
        <f>Fluxo_de_Caixa_Janeiro3459117101215[[#This Row],[OUTUBRO]]</f>
        <v>0</v>
      </c>
      <c r="M189" s="306">
        <f>Fluxo_de_Caixa_Janeiro345911710121516[[#This Row],[NOVEMBRO]]</f>
        <v>0</v>
      </c>
      <c r="N189" s="306">
        <f>Fluxo_de_Caixa_Janeiro34591171012151619[[#This Row],[DEZEMBRO]]</f>
        <v>0</v>
      </c>
      <c r="O189" s="225">
        <f>SUM(Fluxo_de_Caixa_Janeiro31020818[[#This Row],[Janeiro]:[Dezembro]])</f>
        <v>0</v>
      </c>
      <c r="P189" s="195">
        <f t="shared" si="11"/>
        <v>0</v>
      </c>
      <c r="Q189" s="195"/>
      <c r="R189" s="32" t="str">
        <f>IF(Fluxo_de_Caixa_Janeiro31020818[[#This Row],[% ACUMULADO  ANO 2026]]&lt;=Fluxo_de_Caixa_Janeiro31020818[[#This Row],[Coluna1]],"VERDADEIRO","FALSO")</f>
        <v>VERDADEIRO</v>
      </c>
    </row>
    <row r="190" spans="2:19" x14ac:dyDescent="0.25">
      <c r="B190" s="385" t="str">
        <f>Fluxo_de_Caixa_Janeiro[[#This Row],[Fluxo de Caixa 2026 CTR]]</f>
        <v>3.6.08. Juros Sobre Emprestimos</v>
      </c>
      <c r="C190" s="357">
        <f>Fluxo_de_Caixa_Janeiro[[#This Row],[Janeiro]]</f>
        <v>21226.400000000001</v>
      </c>
      <c r="D190" s="306">
        <f>Fluxo_de_Caixa_Janeiro3[[#This Row],[Fevereiro]]</f>
        <v>29472.35</v>
      </c>
      <c r="E190" s="539">
        <f>Fluxo_de_Caixa_Janeiro34[[#This Row],[Março]]</f>
        <v>66655.91</v>
      </c>
      <c r="F190" s="306">
        <f>Fluxo_de_Caixa_Janeiro345[[#This Row],[ABRIL]]</f>
        <v>21872.959999999999</v>
      </c>
      <c r="G190" s="306">
        <f>Fluxo_de_Caixa_Janeiro3459[[#This Row],[MAIO]]</f>
        <v>48014.48</v>
      </c>
      <c r="H190" s="306">
        <f>Fluxo_de_Caixa_Janeiro345911[[#This Row],[JUNHO]]</f>
        <v>0</v>
      </c>
      <c r="I190" s="540">
        <f>Fluxo_de_Caixa_Janeiro3459117[[#This Row],[JULHO]]</f>
        <v>0</v>
      </c>
      <c r="J190" s="306">
        <f>Fluxo_de_Caixa_Janeiro345911710[[#This Row],[AGOSTO]]</f>
        <v>0</v>
      </c>
      <c r="K190" s="306">
        <f>Fluxo_de_Caixa_Janeiro34591171012[[#This Row],[SETEMBRO]]</f>
        <v>0</v>
      </c>
      <c r="L190" s="539">
        <f>Fluxo_de_Caixa_Janeiro3459117101215[[#This Row],[OUTUBRO]]</f>
        <v>0</v>
      </c>
      <c r="M190" s="539">
        <f>Fluxo_de_Caixa_Janeiro345911710121516[[#This Row],[NOVEMBRO]]</f>
        <v>0</v>
      </c>
      <c r="N190" s="539">
        <f>Fluxo_de_Caixa_Janeiro34591171012151619[[#This Row],[DEZEMBRO]]</f>
        <v>0</v>
      </c>
      <c r="O190" s="225">
        <f>SUM(Fluxo_de_Caixa_Janeiro31020818[[#This Row],[Janeiro]:[Dezembro]])</f>
        <v>187242.1</v>
      </c>
      <c r="P190" s="195">
        <f t="shared" si="11"/>
        <v>4.0402275795572283E-2</v>
      </c>
      <c r="Q190" s="195"/>
      <c r="R190" s="32" t="str">
        <f>IF(Fluxo_de_Caixa_Janeiro31020818[[#This Row],[% ACUMULADO  ANO 2026]]&lt;=Fluxo_de_Caixa_Janeiro31020818[[#This Row],[Coluna1]],"VERDADEIRO","FALSO")</f>
        <v>FALSO</v>
      </c>
    </row>
    <row r="191" spans="2:19" x14ac:dyDescent="0.25">
      <c r="B191" s="385" t="str">
        <f>Fluxo_de_Caixa_Janeiro[[#This Row],[Fluxo de Caixa 2026 CTR]]</f>
        <v>3.6.09.RECUPERACAO DE CRED DEVEDOR DUV</v>
      </c>
      <c r="C191" s="357">
        <f>Fluxo_de_Caixa_Janeiro[[#This Row],[Janeiro]]</f>
        <v>0</v>
      </c>
      <c r="D191" s="306">
        <f>Fluxo_de_Caixa_Janeiro3[[#This Row],[Fevereiro]]</f>
        <v>0</v>
      </c>
      <c r="E191" s="306">
        <f>Fluxo_de_Caixa_Janeiro34[[#This Row],[Março]]</f>
        <v>0</v>
      </c>
      <c r="F191" s="306">
        <f>Fluxo_de_Caixa_Janeiro345[[#This Row],[ABRIL]]</f>
        <v>0</v>
      </c>
      <c r="G191" s="306">
        <f>Fluxo_de_Caixa_Janeiro3459[[#This Row],[MAIO]]</f>
        <v>0</v>
      </c>
      <c r="H191" s="306">
        <f>Fluxo_de_Caixa_Janeiro345911[[#This Row],[JUNHO]]</f>
        <v>0</v>
      </c>
      <c r="I191" s="357">
        <f>Fluxo_de_Caixa_Janeiro3459117[[#This Row],[JULHO]]</f>
        <v>0</v>
      </c>
      <c r="J191" s="306">
        <f>Fluxo_de_Caixa_Janeiro345911710[[#This Row],[AGOSTO]]</f>
        <v>0</v>
      </c>
      <c r="K191" s="306">
        <f>Fluxo_de_Caixa_Janeiro34591171012[[#This Row],[SETEMBRO]]</f>
        <v>0</v>
      </c>
      <c r="L191" s="306">
        <f>Fluxo_de_Caixa_Janeiro3459117101215[[#This Row],[OUTUBRO]]</f>
        <v>0</v>
      </c>
      <c r="M191" s="306">
        <f>Fluxo_de_Caixa_Janeiro345911710121516[[#This Row],[NOVEMBRO]]</f>
        <v>0</v>
      </c>
      <c r="N191" s="306">
        <f>Fluxo_de_Caixa_Janeiro34591171012151619[[#This Row],[DEZEMBRO]]</f>
        <v>0</v>
      </c>
      <c r="O191" s="225">
        <f>SUM(Fluxo_de_Caixa_Janeiro31020818[[#This Row],[Janeiro]:[Dezembro]])</f>
        <v>0</v>
      </c>
      <c r="P191" s="195">
        <f t="shared" si="11"/>
        <v>0</v>
      </c>
      <c r="Q191" s="195"/>
      <c r="R191" s="32" t="str">
        <f>IF(Fluxo_de_Caixa_Janeiro31020818[[#This Row],[% ACUMULADO  ANO 2026]]&lt;=Fluxo_de_Caixa_Janeiro31020818[[#This Row],[Coluna1]],"VERDADEIRO","FALSO")</f>
        <v>VERDADEIRO</v>
      </c>
    </row>
    <row r="192" spans="2:19" x14ac:dyDescent="0.25">
      <c r="B192" s="385" t="str">
        <f>Fluxo_de_Caixa_Janeiro[[#This Row],[Fluxo de Caixa 2026 CTR]]</f>
        <v>3.6.10.DESCONTOS OBTIDOS</v>
      </c>
      <c r="C192" s="357">
        <f>Fluxo_de_Caixa_Janeiro[[#This Row],[Janeiro]]</f>
        <v>0</v>
      </c>
      <c r="D192" s="306">
        <f>Fluxo_de_Caixa_Janeiro3[[#This Row],[Fevereiro]]</f>
        <v>0</v>
      </c>
      <c r="E192" s="306">
        <f>Fluxo_de_Caixa_Janeiro34[[#This Row],[Março]]</f>
        <v>0</v>
      </c>
      <c r="F192" s="306">
        <f>Fluxo_de_Caixa_Janeiro345[[#This Row],[ABRIL]]</f>
        <v>0</v>
      </c>
      <c r="G192" s="306">
        <f>Fluxo_de_Caixa_Janeiro3459[[#This Row],[MAIO]]</f>
        <v>0</v>
      </c>
      <c r="H192" s="306">
        <f>Fluxo_de_Caixa_Janeiro345911[[#This Row],[JUNHO]]</f>
        <v>0</v>
      </c>
      <c r="I192" s="357">
        <f>Fluxo_de_Caixa_Janeiro3459117[[#This Row],[JULHO]]</f>
        <v>0</v>
      </c>
      <c r="J192" s="306">
        <f>Fluxo_de_Caixa_Janeiro345911710[[#This Row],[AGOSTO]]</f>
        <v>0</v>
      </c>
      <c r="K192" s="306">
        <f>Fluxo_de_Caixa_Janeiro34591171012[[#This Row],[SETEMBRO]]</f>
        <v>0</v>
      </c>
      <c r="L192" s="306">
        <f>Fluxo_de_Caixa_Janeiro3459117101215[[#This Row],[OUTUBRO]]</f>
        <v>0</v>
      </c>
      <c r="M192" s="306">
        <f>Fluxo_de_Caixa_Janeiro345911710121516[[#This Row],[NOVEMBRO]]</f>
        <v>0</v>
      </c>
      <c r="N192" s="306">
        <f>Fluxo_de_Caixa_Janeiro34591171012151619[[#This Row],[DEZEMBRO]]</f>
        <v>0</v>
      </c>
      <c r="O192" s="225">
        <f>SUM(Fluxo_de_Caixa_Janeiro31020818[[#This Row],[Janeiro]:[Dezembro]])</f>
        <v>0</v>
      </c>
      <c r="P192" s="195">
        <f t="shared" si="11"/>
        <v>0</v>
      </c>
      <c r="Q192" s="195"/>
      <c r="R192" s="32" t="str">
        <f>IF(Fluxo_de_Caixa_Janeiro31020818[[#This Row],[% ACUMULADO  ANO 2026]]&lt;=Fluxo_de_Caixa_Janeiro31020818[[#This Row],[Coluna1]],"VERDADEIRO","FALSO")</f>
        <v>VERDADEIRO</v>
      </c>
    </row>
    <row r="193" spans="2:18" hidden="1" x14ac:dyDescent="0.25">
      <c r="B193" s="385">
        <f>Fluxo_de_Caixa_Janeiro[[#This Row],[Fluxo de Caixa 2026 CTR]]</f>
        <v>0</v>
      </c>
      <c r="C193" s="357">
        <f>Fluxo_de_Caixa_Janeiro[[#This Row],[Janeiro]]</f>
        <v>0</v>
      </c>
      <c r="D193" s="306">
        <f>Fluxo_de_Caixa_Janeiro3[[#This Row],[Fevereiro]]</f>
        <v>0</v>
      </c>
      <c r="E193" s="306">
        <f>Fluxo_de_Caixa_Janeiro34[[#This Row],[Março]]</f>
        <v>0</v>
      </c>
      <c r="F193" s="306">
        <f>Fluxo_de_Caixa_Janeiro345[[#This Row],[ABRIL]]</f>
        <v>0</v>
      </c>
      <c r="G193" s="306">
        <f>Fluxo_de_Caixa_Janeiro3459[[#This Row],[MAIO]]</f>
        <v>0</v>
      </c>
      <c r="H193" s="306">
        <f>Fluxo_de_Caixa_Janeiro345911[[#This Row],[JUNHO]]</f>
        <v>0</v>
      </c>
      <c r="I193" s="357">
        <f>Fluxo_de_Caixa_Janeiro3459117[[#This Row],[JULHO]]</f>
        <v>0</v>
      </c>
      <c r="J193" s="306">
        <f>Fluxo_de_Caixa_Janeiro345911710[[#This Row],[AGOSTO]]</f>
        <v>0</v>
      </c>
      <c r="K193" s="306">
        <f>Fluxo_de_Caixa_Janeiro34591171012[[#This Row],[SETEMBRO]]</f>
        <v>0</v>
      </c>
      <c r="L193" s="306">
        <f>Fluxo_de_Caixa_Janeiro3459117101215[[#This Row],[OUTUBRO]]</f>
        <v>0</v>
      </c>
      <c r="M193" s="306">
        <f>Fluxo_de_Caixa_Janeiro345911710121516[[#This Row],[NOVEMBRO]]</f>
        <v>0</v>
      </c>
      <c r="N193" s="306">
        <f>Fluxo_de_Caixa_Janeiro34591171012151619[[#This Row],[DEZEMBRO]]</f>
        <v>0</v>
      </c>
      <c r="O193" s="224">
        <f>SUM(Fluxo_de_Caixa_Janeiro31020818[[#This Row],[Janeiro]:[Dezembro]])</f>
        <v>0</v>
      </c>
      <c r="P193" s="194">
        <f t="shared" si="11"/>
        <v>0</v>
      </c>
      <c r="Q193" s="194"/>
      <c r="R193" s="32"/>
    </row>
    <row r="194" spans="2:18" x14ac:dyDescent="0.25">
      <c r="B194" s="169" t="str">
        <f>Fluxo_de_Caixa_Janeiro[[#This Row],[Fluxo de Caixa 2026 CTR]]</f>
        <v>3.6.12.JUROS DESCONTO DE BOLETOS</v>
      </c>
      <c r="C194" s="41">
        <f>Fluxo_de_Caixa_Janeiro[[#This Row],[Janeiro]]</f>
        <v>0</v>
      </c>
      <c r="D194" s="81">
        <f>Fluxo_de_Caixa_Janeiro3[[#This Row],[Fevereiro]]</f>
        <v>0</v>
      </c>
      <c r="E194" s="81">
        <f>Fluxo_de_Caixa_Janeiro34[[#This Row],[Março]]</f>
        <v>0</v>
      </c>
      <c r="F194" s="81">
        <f>Fluxo_de_Caixa_Janeiro345[[#This Row],[ABRIL]]</f>
        <v>0</v>
      </c>
      <c r="G194" s="81">
        <f>Fluxo_de_Caixa_Janeiro3459[[#This Row],[MAIO]]</f>
        <v>0</v>
      </c>
      <c r="H194" s="81">
        <f>Fluxo_de_Caixa_Janeiro345911[[#This Row],[JUNHO]]</f>
        <v>0</v>
      </c>
      <c r="I194" s="41">
        <f>Fluxo_de_Caixa_Janeiro3459117[[#This Row],[JULHO]]</f>
        <v>0</v>
      </c>
      <c r="J194" s="81">
        <f>Fluxo_de_Caixa_Janeiro345911710[[#This Row],[AGOSTO]]</f>
        <v>0</v>
      </c>
      <c r="K194" s="81">
        <f>Fluxo_de_Caixa_Janeiro34591171012[[#This Row],[SETEMBRO]]</f>
        <v>0</v>
      </c>
      <c r="L194" s="81">
        <f>Fluxo_de_Caixa_Janeiro3459117101215[[#This Row],[OUTUBRO]]</f>
        <v>0</v>
      </c>
      <c r="M194" s="81">
        <f>Fluxo_de_Caixa_Janeiro345911710121516[[#This Row],[NOVEMBRO]]</f>
        <v>0</v>
      </c>
      <c r="N194" s="118">
        <f>Fluxo_de_Caixa_Janeiro34591171012151619[[#This Row],[DEZEMBRO]]</f>
        <v>0</v>
      </c>
      <c r="O194" s="225">
        <f>SUM(Fluxo_de_Caixa_Janeiro31020818[[#This Row],[Janeiro]:[Dezembro]])</f>
        <v>0</v>
      </c>
      <c r="P194" s="195">
        <f t="shared" si="11"/>
        <v>0</v>
      </c>
      <c r="Q194" s="195"/>
      <c r="R194" s="32" t="str">
        <f>IF(Fluxo_de_Caixa_Janeiro31020818[[#This Row],[% ACUMULADO  ANO 2026]]&lt;=Fluxo_de_Caixa_Janeiro31020818[[#This Row],[Coluna1]],"VERDADEIRO","FALSO")</f>
        <v>VERDADEIRO</v>
      </c>
    </row>
    <row r="195" spans="2:18" hidden="1" x14ac:dyDescent="0.25">
      <c r="B195" s="55">
        <f>Fluxo_de_Caixa_Janeiro[[#This Row],[Fluxo de Caixa 2026 CTR]]</f>
        <v>0</v>
      </c>
      <c r="C195" s="35">
        <f>Fluxo_de_Caixa_Janeiro[[#This Row],[Janeiro]]</f>
        <v>0</v>
      </c>
      <c r="D195" s="62">
        <f>Fluxo_de_Caixa_Janeiro3[[#This Row],[Fevereiro]]</f>
        <v>0</v>
      </c>
      <c r="E195" s="62">
        <f>Fluxo_de_Caixa_Janeiro34[[#This Row],[Março]]</f>
        <v>0</v>
      </c>
      <c r="F195" s="62">
        <f>Fluxo_de_Caixa_Janeiro345[[#This Row],[ABRIL]]</f>
        <v>0</v>
      </c>
      <c r="G195" s="62">
        <f>Fluxo_de_Caixa_Janeiro3459[[#This Row],[MAIO]]</f>
        <v>0</v>
      </c>
      <c r="H195" s="62">
        <f>Fluxo_de_Caixa_Janeiro345911[[#This Row],[JUNHO]]</f>
        <v>0</v>
      </c>
      <c r="I195" s="35">
        <f>Fluxo_de_Caixa_Janeiro3459117[[#This Row],[JULHO]]</f>
        <v>0</v>
      </c>
      <c r="J195" s="62">
        <f>Fluxo_de_Caixa_Janeiro345911710[[#This Row],[AGOSTO]]</f>
        <v>0</v>
      </c>
      <c r="K195" s="62">
        <f>Fluxo_de_Caixa_Janeiro34591171012[[#This Row],[SETEMBRO]]</f>
        <v>0</v>
      </c>
      <c r="L195" s="62">
        <f>Fluxo_de_Caixa_Janeiro3459117101215[[#This Row],[OUTUBRO]]</f>
        <v>0</v>
      </c>
      <c r="M195" s="62">
        <f>Fluxo_de_Caixa_Janeiro345911710121516[[#This Row],[NOVEMBRO]]</f>
        <v>0</v>
      </c>
      <c r="N195" s="119">
        <f>Fluxo_de_Caixa_Janeiro34591171012151619[[#This Row],[DEZEMBRO]]</f>
        <v>0</v>
      </c>
      <c r="O195" s="224">
        <f>SUM(Fluxo_de_Caixa_Janeiro31020818[[#This Row],[Janeiro]:[Dezembro]])</f>
        <v>0</v>
      </c>
      <c r="P195" s="194">
        <f t="shared" si="11"/>
        <v>0</v>
      </c>
      <c r="Q195" s="194"/>
      <c r="R195" s="32" t="str">
        <f>IF(Fluxo_de_Caixa_Janeiro31020818[[#This Row],[% ACUMULADO  ANO 2026]]&lt;=Fluxo_de_Caixa_Janeiro31020818[[#This Row],[Coluna1]],"VERDADEIRO","FALSO")</f>
        <v>VERDADEIRO</v>
      </c>
    </row>
    <row r="196" spans="2:18" x14ac:dyDescent="0.25">
      <c r="B196" s="55" t="str">
        <f>Fluxo_de_Caixa_Janeiro[[#This Row],[Fluxo de Caixa 2026 CTR]]</f>
        <v>3.6.14. JUROS ANTEC. CARTÕES CRED/DEBITO</v>
      </c>
      <c r="C196" s="35">
        <f>Fluxo_de_Caixa_Janeiro[[#This Row],[Janeiro]]</f>
        <v>0</v>
      </c>
      <c r="D196" s="62">
        <f>Fluxo_de_Caixa_Janeiro3[[#This Row],[Fevereiro]]</f>
        <v>0</v>
      </c>
      <c r="E196" s="62">
        <f>Fluxo_de_Caixa_Janeiro34[[#This Row],[Março]]</f>
        <v>0</v>
      </c>
      <c r="F196" s="62">
        <f>Fluxo_de_Caixa_Janeiro345[[#This Row],[ABRIL]]</f>
        <v>0</v>
      </c>
      <c r="G196" s="62">
        <f>Fluxo_de_Caixa_Janeiro3459[[#This Row],[MAIO]]</f>
        <v>0</v>
      </c>
      <c r="H196" s="62">
        <f>Fluxo_de_Caixa_Janeiro345911[[#This Row],[JUNHO]]</f>
        <v>0</v>
      </c>
      <c r="I196" s="35">
        <f>Fluxo_de_Caixa_Janeiro3459117[[#This Row],[JULHO]]</f>
        <v>0</v>
      </c>
      <c r="J196" s="62">
        <f>Fluxo_de_Caixa_Janeiro345911710[[#This Row],[AGOSTO]]</f>
        <v>0</v>
      </c>
      <c r="K196" s="62">
        <f>Fluxo_de_Caixa_Janeiro34591171012[[#This Row],[SETEMBRO]]</f>
        <v>0</v>
      </c>
      <c r="L196" s="62">
        <f>Fluxo_de_Caixa_Janeiro3459117101215[[#This Row],[OUTUBRO]]</f>
        <v>0</v>
      </c>
      <c r="M196" s="62">
        <f>Fluxo_de_Caixa_Janeiro345911710121516[[#This Row],[NOVEMBRO]]</f>
        <v>0</v>
      </c>
      <c r="N196" s="119">
        <f>Fluxo_de_Caixa_Janeiro34591171012151619[[#This Row],[DEZEMBRO]]</f>
        <v>0</v>
      </c>
      <c r="O196" s="224">
        <f>SUM(Fluxo_de_Caixa_Janeiro31020818[[#This Row],[Janeiro]:[Dezembro]])</f>
        <v>0</v>
      </c>
      <c r="P196" s="194">
        <f t="shared" si="11"/>
        <v>0</v>
      </c>
      <c r="Q196" s="194"/>
      <c r="R196" s="32" t="str">
        <f>IF(Fluxo_de_Caixa_Janeiro31020818[[#This Row],[% ACUMULADO  ANO 2026]]&lt;=Fluxo_de_Caixa_Janeiro31020818[[#This Row],[Coluna1]],"VERDADEIRO","FALSO")</f>
        <v>VERDADEIRO</v>
      </c>
    </row>
    <row r="197" spans="2:18" x14ac:dyDescent="0.25">
      <c r="B197" s="55" t="str">
        <f>Fluxo_de_Caixa_Janeiro[[#This Row],[Fluxo de Caixa 2026 CTR]]</f>
        <v>3.6.15. IRRF Sobre Aplicação Financeira</v>
      </c>
      <c r="C197" s="35">
        <f>Fluxo_de_Caixa_Janeiro[[#This Row],[Janeiro]]</f>
        <v>0</v>
      </c>
      <c r="D197" s="62">
        <f>Fluxo_de_Caixa_Janeiro3[[#This Row],[Fevereiro]]</f>
        <v>0</v>
      </c>
      <c r="E197" s="62">
        <f>Fluxo_de_Caixa_Janeiro34[[#This Row],[Março]]</f>
        <v>0</v>
      </c>
      <c r="F197" s="62">
        <f>Fluxo_de_Caixa_Janeiro345[[#This Row],[ABRIL]]</f>
        <v>0</v>
      </c>
      <c r="G197" s="62">
        <f>Fluxo_de_Caixa_Janeiro3459[[#This Row],[MAIO]]</f>
        <v>0</v>
      </c>
      <c r="H197" s="62">
        <f>Fluxo_de_Caixa_Janeiro345911[[#This Row],[JUNHO]]</f>
        <v>0</v>
      </c>
      <c r="I197" s="35">
        <f>Fluxo_de_Caixa_Janeiro3459117[[#This Row],[JULHO]]</f>
        <v>0</v>
      </c>
      <c r="J197" s="62">
        <f>Fluxo_de_Caixa_Janeiro345911710[[#This Row],[AGOSTO]]</f>
        <v>0</v>
      </c>
      <c r="K197" s="62">
        <f>Fluxo_de_Caixa_Janeiro34591171012[[#This Row],[SETEMBRO]]</f>
        <v>0</v>
      </c>
      <c r="L197" s="62">
        <f>Fluxo_de_Caixa_Janeiro3459117101215[[#This Row],[OUTUBRO]]</f>
        <v>0</v>
      </c>
      <c r="M197" s="62">
        <f>Fluxo_de_Caixa_Janeiro345911710121516[[#This Row],[NOVEMBRO]]</f>
        <v>0</v>
      </c>
      <c r="N197" s="119">
        <f>Fluxo_de_Caixa_Janeiro34591171012151619[[#This Row],[DEZEMBRO]]</f>
        <v>0</v>
      </c>
      <c r="O197" s="224">
        <f>SUM(Fluxo_de_Caixa_Janeiro31020818[[#This Row],[Janeiro]:[Dezembro]])</f>
        <v>0</v>
      </c>
      <c r="P197" s="194">
        <f t="shared" si="11"/>
        <v>0</v>
      </c>
      <c r="Q197" s="194"/>
      <c r="R197" s="32" t="str">
        <f>IF(Fluxo_de_Caixa_Janeiro31020818[[#This Row],[% ACUMULADO  ANO 2026]]&lt;=Fluxo_de_Caixa_Janeiro31020818[[#This Row],[Coluna1]],"VERDADEIRO","FALSO")</f>
        <v>VERDADEIRO</v>
      </c>
    </row>
    <row r="198" spans="2:18" x14ac:dyDescent="0.25">
      <c r="B198" s="55" t="str">
        <f>Fluxo_de_Caixa_Janeiro[[#This Row],[Fluxo de Caixa 2026 CTR]]</f>
        <v>3.6.16.DESCONTOS FINANCEIROS</v>
      </c>
      <c r="C198" s="35">
        <f>Fluxo_de_Caixa_Janeiro[[#This Row],[Janeiro]]</f>
        <v>0</v>
      </c>
      <c r="D198" s="62">
        <f>Fluxo_de_Caixa_Janeiro3[[#This Row],[Fevereiro]]</f>
        <v>0</v>
      </c>
      <c r="E198" s="62">
        <f>Fluxo_de_Caixa_Janeiro34[[#This Row],[Março]]</f>
        <v>0</v>
      </c>
      <c r="F198" s="62">
        <f>Fluxo_de_Caixa_Janeiro345[[#This Row],[ABRIL]]</f>
        <v>0</v>
      </c>
      <c r="G198" s="62">
        <f>Fluxo_de_Caixa_Janeiro3459[[#This Row],[MAIO]]</f>
        <v>0</v>
      </c>
      <c r="H198" s="62">
        <f>Fluxo_de_Caixa_Janeiro345911[[#This Row],[JUNHO]]</f>
        <v>0</v>
      </c>
      <c r="I198" s="35">
        <f>Fluxo_de_Caixa_Janeiro3459117[[#This Row],[JULHO]]</f>
        <v>0</v>
      </c>
      <c r="J198" s="62">
        <f>Fluxo_de_Caixa_Janeiro345911710[[#This Row],[AGOSTO]]</f>
        <v>0</v>
      </c>
      <c r="K198" s="62">
        <f>Fluxo_de_Caixa_Janeiro34591171012[[#This Row],[SETEMBRO]]</f>
        <v>0</v>
      </c>
      <c r="L198" s="62">
        <f>Fluxo_de_Caixa_Janeiro3459117101215[[#This Row],[OUTUBRO]]</f>
        <v>0</v>
      </c>
      <c r="M198" s="62">
        <f>Fluxo_de_Caixa_Janeiro345911710121516[[#This Row],[NOVEMBRO]]</f>
        <v>0</v>
      </c>
      <c r="N198" s="119">
        <f>Fluxo_de_Caixa_Janeiro34591171012151619[[#This Row],[DEZEMBRO]]</f>
        <v>0</v>
      </c>
      <c r="O198" s="224">
        <f>SUM(Fluxo_de_Caixa_Janeiro31020818[[#This Row],[Janeiro]:[Dezembro]])</f>
        <v>0</v>
      </c>
      <c r="P198" s="194">
        <f t="shared" si="11"/>
        <v>0</v>
      </c>
      <c r="Q198" s="194"/>
      <c r="R198" s="32" t="str">
        <f>IF(Fluxo_de_Caixa_Janeiro31020818[[#This Row],[% ACUMULADO  ANO 2026]]&lt;=Fluxo_de_Caixa_Janeiro31020818[[#This Row],[Coluna1]],"VERDADEIRO","FALSO")</f>
        <v>VERDADEIRO</v>
      </c>
    </row>
    <row r="199" spans="2:18" ht="15.75" thickBot="1" x14ac:dyDescent="0.3">
      <c r="B199" s="387" t="str">
        <f>Fluxo_de_Caixa_Janeiro[[#This Row],[Fluxo de Caixa 2026 CTR]]</f>
        <v>3.6.17.JUROS DESCONTO DE BOLETOS</v>
      </c>
      <c r="C199" s="36">
        <f>Fluxo_de_Caixa_Janeiro[[#This Row],[Janeiro]]</f>
        <v>0</v>
      </c>
      <c r="D199" s="82">
        <f>Fluxo_de_Caixa_Janeiro3[[#This Row],[Fevereiro]]</f>
        <v>707.83</v>
      </c>
      <c r="E199" s="82">
        <f>Fluxo_de_Caixa_Janeiro34[[#This Row],[Março]]</f>
        <v>0</v>
      </c>
      <c r="F199" s="82">
        <f>Fluxo_de_Caixa_Janeiro345[[#This Row],[ABRIL]]</f>
        <v>0</v>
      </c>
      <c r="G199" s="82">
        <f>Fluxo_de_Caixa_Janeiro3459[[#This Row],[MAIO]]</f>
        <v>0</v>
      </c>
      <c r="H199" s="82">
        <f>Fluxo_de_Caixa_Janeiro345911[[#This Row],[JUNHO]]</f>
        <v>0</v>
      </c>
      <c r="I199" s="36">
        <f>Fluxo_de_Caixa_Janeiro3459117[[#This Row],[JULHO]]</f>
        <v>0</v>
      </c>
      <c r="J199" s="82">
        <f>Fluxo_de_Caixa_Janeiro345911710[[#This Row],[AGOSTO]]</f>
        <v>0</v>
      </c>
      <c r="K199" s="82">
        <f>Fluxo_de_Caixa_Janeiro34591171012[[#This Row],[SETEMBRO]]</f>
        <v>0</v>
      </c>
      <c r="L199" s="82">
        <f>Fluxo_de_Caixa_Janeiro3459117101215[[#This Row],[OUTUBRO]]</f>
        <v>0</v>
      </c>
      <c r="M199" s="82">
        <f>Fluxo_de_Caixa_Janeiro345911710121516[[#This Row],[NOVEMBRO]]</f>
        <v>0</v>
      </c>
      <c r="N199" s="120">
        <f>Fluxo_de_Caixa_Janeiro34591171012151619[[#This Row],[DEZEMBRO]]</f>
        <v>0</v>
      </c>
      <c r="O199" s="225">
        <f>SUM(Fluxo_de_Caixa_Janeiro31020818[[#This Row],[Janeiro]:[Dezembro]])</f>
        <v>707.83</v>
      </c>
      <c r="P199" s="195">
        <f t="shared" si="11"/>
        <v>1.5273244038803202E-4</v>
      </c>
      <c r="Q199" s="195"/>
      <c r="R199" s="32" t="str">
        <f>IF(Fluxo_de_Caixa_Janeiro31020818[[#This Row],[% ACUMULADO  ANO 2026]]&lt;=Fluxo_de_Caixa_Janeiro31020818[[#This Row],[Coluna1]],"VERDADEIRO","FALSO")</f>
        <v>FALSO</v>
      </c>
    </row>
    <row r="200" spans="2:18" ht="19.5" thickBot="1" x14ac:dyDescent="0.35">
      <c r="B200" s="277" t="str">
        <f>Fluxo_de_Caixa_Janeiro[[#This Row],[Fluxo de Caixa 2026 CTR]]</f>
        <v>3.7. DESPESAS COM VEICULOS</v>
      </c>
      <c r="C200" s="158">
        <f>Fluxo_de_Caixa_Janeiro[[#This Row],[Janeiro]]</f>
        <v>-14367.27</v>
      </c>
      <c r="D200" s="97">
        <f>Fluxo_de_Caixa_Janeiro3[[#This Row],[Fevereiro]]</f>
        <v>-22258.140000000003</v>
      </c>
      <c r="E200" s="97">
        <f>Fluxo_de_Caixa_Janeiro34[[#This Row],[Março]]</f>
        <v>-12551.11</v>
      </c>
      <c r="F200" s="97">
        <f>Fluxo_de_Caixa_Janeiro345[[#This Row],[ABRIL]]</f>
        <v>-12626.79</v>
      </c>
      <c r="G200" s="97">
        <f>Fluxo_de_Caixa_Janeiro3459[[#This Row],[MAIO]]</f>
        <v>-14044.69</v>
      </c>
      <c r="H200" s="97">
        <f>Fluxo_de_Caixa_Janeiro345911[[#This Row],[JUNHO]]</f>
        <v>0</v>
      </c>
      <c r="I200" s="158">
        <f>Fluxo_de_Caixa_Janeiro3459117[[#This Row],[JULHO]]</f>
        <v>0</v>
      </c>
      <c r="J200" s="97">
        <f>Fluxo_de_Caixa_Janeiro345911710[[#This Row],[AGOSTO]]</f>
        <v>0</v>
      </c>
      <c r="K200" s="97">
        <f>Fluxo_de_Caixa_Janeiro34591171012[[#This Row],[SETEMBRO]]</f>
        <v>0</v>
      </c>
      <c r="L200" s="97">
        <f>Fluxo_de_Caixa_Janeiro3459117101215[[#This Row],[OUTUBRO]]</f>
        <v>0</v>
      </c>
      <c r="M200" s="97">
        <f>Fluxo_de_Caixa_Janeiro345911710121516[[#This Row],[NOVEMBRO]]</f>
        <v>0</v>
      </c>
      <c r="N200" s="129">
        <f>Fluxo_de_Caixa_Janeiro34591171012151619[[#This Row],[DEZEMBRO]]</f>
        <v>0</v>
      </c>
      <c r="O200" s="226">
        <f>SUM(Fluxo_de_Caixa_Janeiro31020818[[#This Row],[Janeiro]:[Dezembro]])</f>
        <v>-75848</v>
      </c>
      <c r="P200" s="144">
        <f>-IFERROR(C200/$C$27,"0,00")</f>
        <v>1.9165740224352208E-2</v>
      </c>
      <c r="Q200" s="144"/>
      <c r="R200" s="32" t="str">
        <f>IF(Fluxo_de_Caixa_Janeiro31020818[[#This Row],[% ACUMULADO  ANO 2026]]&lt;=Fluxo_de_Caixa_Janeiro31020818[[#This Row],[Coluna1]],"VERDADEIRO","FALSO")</f>
        <v>FALSO</v>
      </c>
    </row>
    <row r="201" spans="2:18" x14ac:dyDescent="0.25">
      <c r="B201" s="388" t="str">
        <f>Fluxo_de_Caixa_Janeiro[[#This Row],[Fluxo de Caixa 2026 CTR]]</f>
        <v>3.7.01. Combustível e Lubrificantes</v>
      </c>
      <c r="C201" s="41">
        <f>Fluxo_de_Caixa_Janeiro[[#This Row],[Janeiro]]</f>
        <v>6442.2199999999993</v>
      </c>
      <c r="D201" s="81">
        <f>Fluxo_de_Caixa_Janeiro3[[#This Row],[Fevereiro]]</f>
        <v>4432.5600000000004</v>
      </c>
      <c r="E201" s="81">
        <f>Fluxo_de_Caixa_Janeiro34[[#This Row],[Março]]</f>
        <v>3693.75</v>
      </c>
      <c r="F201" s="81">
        <f>Fluxo_de_Caixa_Janeiro345[[#This Row],[ABRIL]]</f>
        <v>3694.4700000000003</v>
      </c>
      <c r="G201" s="81">
        <f>Fluxo_de_Caixa_Janeiro3459[[#This Row],[MAIO]]</f>
        <v>4920.66</v>
      </c>
      <c r="H201" s="81">
        <f>Fluxo_de_Caixa_Janeiro345911[[#This Row],[JUNHO]]</f>
        <v>0</v>
      </c>
      <c r="I201" s="41">
        <f>Fluxo_de_Caixa_Janeiro3459117[[#This Row],[JULHO]]</f>
        <v>0</v>
      </c>
      <c r="J201" s="81">
        <f>Fluxo_de_Caixa_Janeiro345911710[[#This Row],[AGOSTO]]</f>
        <v>0</v>
      </c>
      <c r="K201" s="81">
        <f>Fluxo_de_Caixa_Janeiro34591171012[[#This Row],[SETEMBRO]]</f>
        <v>0</v>
      </c>
      <c r="L201" s="81">
        <f>Fluxo_de_Caixa_Janeiro3459117101215[[#This Row],[OUTUBRO]]</f>
        <v>0</v>
      </c>
      <c r="M201" s="81">
        <f>Fluxo_de_Caixa_Janeiro345911710121516[[#This Row],[NOVEMBRO]]</f>
        <v>0</v>
      </c>
      <c r="N201" s="118">
        <f>Fluxo_de_Caixa_Janeiro34591171012151619[[#This Row],[DEZEMBRO]]</f>
        <v>0</v>
      </c>
      <c r="O201" s="223">
        <f>SUM(Fluxo_de_Caixa_Janeiro31020818[[#This Row],[Janeiro]:[Dezembro]])</f>
        <v>23183.66</v>
      </c>
      <c r="P201" s="193">
        <f>IFERROR(O201/$O$27,"0,00%")</f>
        <v>5.0024680628489929E-3</v>
      </c>
      <c r="Q201" s="193"/>
      <c r="R201" s="32" t="str">
        <f>IF(Fluxo_de_Caixa_Janeiro31020818[[#This Row],[% ACUMULADO  ANO 2026]]&lt;=Fluxo_de_Caixa_Janeiro31020818[[#This Row],[Coluna1]],"VERDADEIRO","FALSO")</f>
        <v>FALSO</v>
      </c>
    </row>
    <row r="202" spans="2:18" x14ac:dyDescent="0.25">
      <c r="B202" s="378" t="str">
        <f>Fluxo_de_Caixa_Janeiro[[#This Row],[Fluxo de Caixa 2026 CTR]]</f>
        <v xml:space="preserve">3.7.02. Manutenção Veicular </v>
      </c>
      <c r="C202" s="357">
        <f>Fluxo_de_Caixa_Janeiro[[#This Row],[Janeiro]]</f>
        <v>0</v>
      </c>
      <c r="D202" s="306">
        <f>Fluxo_de_Caixa_Janeiro3[[#This Row],[Fevereiro]]</f>
        <v>212</v>
      </c>
      <c r="E202" s="306">
        <f>Fluxo_de_Caixa_Janeiro34[[#This Row],[Março]]</f>
        <v>120</v>
      </c>
      <c r="F202" s="306">
        <f>Fluxo_de_Caixa_Janeiro345[[#This Row],[ABRIL]]</f>
        <v>70</v>
      </c>
      <c r="G202" s="306">
        <f>Fluxo_de_Caixa_Janeiro3459[[#This Row],[MAIO]]</f>
        <v>250</v>
      </c>
      <c r="H202" s="306">
        <f>Fluxo_de_Caixa_Janeiro345911[[#This Row],[JUNHO]]</f>
        <v>0</v>
      </c>
      <c r="I202" s="357">
        <f>Fluxo_de_Caixa_Janeiro3459117[[#This Row],[JULHO]]</f>
        <v>0</v>
      </c>
      <c r="J202" s="306">
        <f>Fluxo_de_Caixa_Janeiro345911710[[#This Row],[AGOSTO]]</f>
        <v>0</v>
      </c>
      <c r="K202" s="306">
        <f>Fluxo_de_Caixa_Janeiro34591171012[[#This Row],[SETEMBRO]]</f>
        <v>0</v>
      </c>
      <c r="L202" s="306">
        <f>Fluxo_de_Caixa_Janeiro3459117101215[[#This Row],[OUTUBRO]]</f>
        <v>0</v>
      </c>
      <c r="M202" s="306">
        <f>Fluxo_de_Caixa_Janeiro345911710121516[[#This Row],[NOVEMBRO]]</f>
        <v>0</v>
      </c>
      <c r="N202" s="360">
        <f>Fluxo_de_Caixa_Janeiro34591171012151619[[#This Row],[DEZEMBRO]]</f>
        <v>0</v>
      </c>
      <c r="O202" s="223">
        <f>SUM(Fluxo_de_Caixa_Janeiro31020818[[#This Row],[Janeiro]:[Dezembro]])</f>
        <v>652</v>
      </c>
      <c r="P202" s="193">
        <f t="shared" ref="P202:P211" si="12">IFERROR(O202/$O$27,"0,00%")</f>
        <v>1.4068568884194918E-4</v>
      </c>
      <c r="Q202" s="193"/>
      <c r="R202" s="32" t="str">
        <f>IF(Fluxo_de_Caixa_Janeiro31020818[[#This Row],[% ACUMULADO  ANO 2026]]&lt;=Fluxo_de_Caixa_Janeiro31020818[[#This Row],[Coluna1]],"VERDADEIRO","FALSO")</f>
        <v>FALSO</v>
      </c>
    </row>
    <row r="203" spans="2:18" x14ac:dyDescent="0.25">
      <c r="B203" s="378" t="str">
        <f>Fluxo_de_Caixa_Janeiro[[#This Row],[Fluxo de Caixa 2026 CTR]]</f>
        <v xml:space="preserve">3.7.03. IPVA e outras taxas </v>
      </c>
      <c r="C203" s="369">
        <f>Fluxo_de_Caixa_Janeiro[[#This Row],[Janeiro]]</f>
        <v>0</v>
      </c>
      <c r="D203" s="370">
        <f>Fluxo_de_Caixa_Janeiro3[[#This Row],[Fevereiro]]</f>
        <v>0</v>
      </c>
      <c r="E203" s="370">
        <f>Fluxo_de_Caixa_Janeiro34[[#This Row],[Março]]</f>
        <v>0</v>
      </c>
      <c r="F203" s="370">
        <f>Fluxo_de_Caixa_Janeiro345[[#This Row],[ABRIL]]</f>
        <v>0</v>
      </c>
      <c r="G203" s="370">
        <f>Fluxo_de_Caixa_Janeiro3459[[#This Row],[MAIO]]</f>
        <v>0</v>
      </c>
      <c r="H203" s="370">
        <f>Fluxo_de_Caixa_Janeiro345911[[#This Row],[JUNHO]]</f>
        <v>0</v>
      </c>
      <c r="I203" s="369">
        <f>Fluxo_de_Caixa_Janeiro3459117[[#This Row],[JULHO]]</f>
        <v>0</v>
      </c>
      <c r="J203" s="370">
        <f>Fluxo_de_Caixa_Janeiro345911710[[#This Row],[AGOSTO]]</f>
        <v>0</v>
      </c>
      <c r="K203" s="370">
        <f>Fluxo_de_Caixa_Janeiro34591171012[[#This Row],[SETEMBRO]]</f>
        <v>0</v>
      </c>
      <c r="L203" s="370">
        <f>Fluxo_de_Caixa_Janeiro3459117101215[[#This Row],[OUTUBRO]]</f>
        <v>0</v>
      </c>
      <c r="M203" s="370">
        <f>Fluxo_de_Caixa_Janeiro345911710121516[[#This Row],[NOVEMBRO]]</f>
        <v>0</v>
      </c>
      <c r="N203" s="371">
        <f>Fluxo_de_Caixa_Janeiro34591171012151619[[#This Row],[DEZEMBRO]]</f>
        <v>0</v>
      </c>
      <c r="O203" s="223">
        <f>SUM(Fluxo_de_Caixa_Janeiro31020818[[#This Row],[Janeiro]:[Dezembro]])</f>
        <v>0</v>
      </c>
      <c r="P203" s="193">
        <f t="shared" si="12"/>
        <v>0</v>
      </c>
      <c r="Q203" s="193"/>
      <c r="R203" s="32" t="str">
        <f>IF(Fluxo_de_Caixa_Janeiro31020818[[#This Row],[% ACUMULADO  ANO 2026]]&lt;=Fluxo_de_Caixa_Janeiro31020818[[#This Row],[Coluna1]],"VERDADEIRO","FALSO")</f>
        <v>VERDADEIRO</v>
      </c>
    </row>
    <row r="204" spans="2:18" x14ac:dyDescent="0.25">
      <c r="B204" s="378" t="str">
        <f>Fluxo_de_Caixa_Janeiro[[#This Row],[Fluxo de Caixa 2026 CTR]]</f>
        <v>3.7.04. Multa</v>
      </c>
      <c r="C204" s="369">
        <f>Fluxo_de_Caixa_Janeiro[[#This Row],[Janeiro]]</f>
        <v>0</v>
      </c>
      <c r="D204" s="370">
        <f>Fluxo_de_Caixa_Janeiro3[[#This Row],[Fevereiro]]</f>
        <v>0</v>
      </c>
      <c r="E204" s="370">
        <f>Fluxo_de_Caixa_Janeiro34[[#This Row],[Março]]</f>
        <v>0</v>
      </c>
      <c r="F204" s="370">
        <f>Fluxo_de_Caixa_Janeiro345[[#This Row],[ABRIL]]</f>
        <v>124.96</v>
      </c>
      <c r="G204" s="370">
        <f>Fluxo_de_Caixa_Janeiro3459[[#This Row],[MAIO]]</f>
        <v>136.66999999999999</v>
      </c>
      <c r="H204" s="370">
        <f>Fluxo_de_Caixa_Janeiro345911[[#This Row],[JUNHO]]</f>
        <v>0</v>
      </c>
      <c r="I204" s="369">
        <f>Fluxo_de_Caixa_Janeiro3459117[[#This Row],[JULHO]]</f>
        <v>0</v>
      </c>
      <c r="J204" s="370">
        <f>Fluxo_de_Caixa_Janeiro345911710[[#This Row],[AGOSTO]]</f>
        <v>0</v>
      </c>
      <c r="K204" s="370">
        <f>Fluxo_de_Caixa_Janeiro34591171012[[#This Row],[SETEMBRO]]</f>
        <v>0</v>
      </c>
      <c r="L204" s="370">
        <f>Fluxo_de_Caixa_Janeiro3459117101215[[#This Row],[OUTUBRO]]</f>
        <v>0</v>
      </c>
      <c r="M204" s="370">
        <f>Fluxo_de_Caixa_Janeiro345911710121516[[#This Row],[NOVEMBRO]]</f>
        <v>0</v>
      </c>
      <c r="N204" s="371">
        <f>Fluxo_de_Caixa_Janeiro34591171012151619[[#This Row],[DEZEMBRO]]</f>
        <v>0</v>
      </c>
      <c r="O204" s="223">
        <f>SUM(Fluxo_de_Caixa_Janeiro31020818[[#This Row],[Janeiro]:[Dezembro]])</f>
        <v>261.63</v>
      </c>
      <c r="P204" s="193">
        <f t="shared" si="12"/>
        <v>5.6453369281777849E-5</v>
      </c>
      <c r="Q204" s="193"/>
      <c r="R204" s="32" t="str">
        <f>IF(Fluxo_de_Caixa_Janeiro31020818[[#This Row],[% ACUMULADO  ANO 2026]]&lt;=Fluxo_de_Caixa_Janeiro31020818[[#This Row],[Coluna1]],"VERDADEIRO","FALSO")</f>
        <v>FALSO</v>
      </c>
    </row>
    <row r="205" spans="2:18" x14ac:dyDescent="0.25">
      <c r="B205" s="378" t="str">
        <f>Fluxo_de_Caixa_Janeiro[[#This Row],[Fluxo de Caixa 2026 CTR]]</f>
        <v>3.7.05. Despesas com Estacionamento</v>
      </c>
      <c r="C205" s="369">
        <f>Fluxo_de_Caixa_Janeiro[[#This Row],[Janeiro]]</f>
        <v>0</v>
      </c>
      <c r="D205" s="370">
        <f>Fluxo_de_Caixa_Janeiro3[[#This Row],[Fevereiro]]</f>
        <v>0</v>
      </c>
      <c r="E205" s="370">
        <f>Fluxo_de_Caixa_Janeiro34[[#This Row],[Março]]</f>
        <v>0</v>
      </c>
      <c r="F205" s="370">
        <f>Fluxo_de_Caixa_Janeiro345[[#This Row],[ABRIL]]</f>
        <v>0</v>
      </c>
      <c r="G205" s="370">
        <f>Fluxo_de_Caixa_Janeiro3459[[#This Row],[MAIO]]</f>
        <v>0</v>
      </c>
      <c r="H205" s="370">
        <f>Fluxo_de_Caixa_Janeiro345911[[#This Row],[JUNHO]]</f>
        <v>0</v>
      </c>
      <c r="I205" s="369">
        <f>Fluxo_de_Caixa_Janeiro3459117[[#This Row],[JULHO]]</f>
        <v>0</v>
      </c>
      <c r="J205" s="370">
        <f>Fluxo_de_Caixa_Janeiro345911710[[#This Row],[AGOSTO]]</f>
        <v>0</v>
      </c>
      <c r="K205" s="370">
        <f>Fluxo_de_Caixa_Janeiro34591171012[[#This Row],[SETEMBRO]]</f>
        <v>0</v>
      </c>
      <c r="L205" s="370">
        <f>Fluxo_de_Caixa_Janeiro3459117101215[[#This Row],[OUTUBRO]]</f>
        <v>0</v>
      </c>
      <c r="M205" s="370">
        <f>Fluxo_de_Caixa_Janeiro345911710121516[[#This Row],[NOVEMBRO]]</f>
        <v>0</v>
      </c>
      <c r="N205" s="371">
        <f>Fluxo_de_Caixa_Janeiro34591171012151619[[#This Row],[DEZEMBRO]]</f>
        <v>0</v>
      </c>
      <c r="O205" s="223">
        <f>SUM(Fluxo_de_Caixa_Janeiro31020818[[#This Row],[Janeiro]:[Dezembro]])</f>
        <v>0</v>
      </c>
      <c r="P205" s="193">
        <f t="shared" si="12"/>
        <v>0</v>
      </c>
      <c r="Q205" s="193"/>
      <c r="R205" s="32" t="str">
        <f>IF(Fluxo_de_Caixa_Janeiro31020818[[#This Row],[% ACUMULADO  ANO 2026]]&lt;=Fluxo_de_Caixa_Janeiro31020818[[#This Row],[Coluna1]],"VERDADEIRO","FALSO")</f>
        <v>VERDADEIRO</v>
      </c>
    </row>
    <row r="206" spans="2:18" x14ac:dyDescent="0.25">
      <c r="B206" s="378" t="str">
        <f>Fluxo_de_Caixa_Janeiro[[#This Row],[Fluxo de Caixa 2026 CTR]]</f>
        <v>3.7.06. Aluguel de Veículo</v>
      </c>
      <c r="C206" s="369">
        <f>Fluxo_de_Caixa_Janeiro[[#This Row],[Janeiro]]</f>
        <v>7805.05</v>
      </c>
      <c r="D206" s="370">
        <f>Fluxo_de_Caixa_Janeiro3[[#This Row],[Fevereiro]]</f>
        <v>17493.580000000002</v>
      </c>
      <c r="E206" s="370">
        <f>Fluxo_de_Caixa_Janeiro34[[#This Row],[Março]]</f>
        <v>8617.36</v>
      </c>
      <c r="F206" s="370">
        <f>Fluxo_de_Caixa_Janeiro345[[#This Row],[ABRIL]]</f>
        <v>8617.36</v>
      </c>
      <c r="G206" s="370">
        <f>Fluxo_de_Caixa_Janeiro3459[[#This Row],[MAIO]]</f>
        <v>8617.36</v>
      </c>
      <c r="H206" s="370">
        <f>Fluxo_de_Caixa_Janeiro345911[[#This Row],[JUNHO]]</f>
        <v>0</v>
      </c>
      <c r="I206" s="369">
        <f>Fluxo_de_Caixa_Janeiro3459117[[#This Row],[JULHO]]</f>
        <v>0</v>
      </c>
      <c r="J206" s="370">
        <f>Fluxo_de_Caixa_Janeiro345911710[[#This Row],[AGOSTO]]</f>
        <v>0</v>
      </c>
      <c r="K206" s="370">
        <f>Fluxo_de_Caixa_Janeiro34591171012[[#This Row],[SETEMBRO]]</f>
        <v>0</v>
      </c>
      <c r="L206" s="370">
        <f>Fluxo_de_Caixa_Janeiro3459117101215[[#This Row],[OUTUBRO]]</f>
        <v>0</v>
      </c>
      <c r="M206" s="370">
        <f>Fluxo_de_Caixa_Janeiro345911710121516[[#This Row],[NOVEMBRO]]</f>
        <v>0</v>
      </c>
      <c r="N206" s="371">
        <f>Fluxo_de_Caixa_Janeiro34591171012151619[[#This Row],[DEZEMBRO]]</f>
        <v>0</v>
      </c>
      <c r="O206" s="223">
        <f>SUM(Fluxo_de_Caixa_Janeiro31020818[[#This Row],[Janeiro]:[Dezembro]])</f>
        <v>51150.710000000006</v>
      </c>
      <c r="P206" s="193">
        <f t="shared" si="12"/>
        <v>1.1037074955682175E-2</v>
      </c>
      <c r="Q206" s="193"/>
      <c r="R206" s="32" t="str">
        <f>IF(Fluxo_de_Caixa_Janeiro31020818[[#This Row],[% ACUMULADO  ANO 2026]]&lt;=Fluxo_de_Caixa_Janeiro31020818[[#This Row],[Coluna1]],"VERDADEIRO","FALSO")</f>
        <v>FALSO</v>
      </c>
    </row>
    <row r="207" spans="2:18" x14ac:dyDescent="0.25">
      <c r="B207" s="378" t="str">
        <f>Fluxo_de_Caixa_Janeiro[[#This Row],[Fluxo de Caixa 2026 CTR]]</f>
        <v>3.7.07.RASTREAMENTO POR GPS</v>
      </c>
      <c r="C207" s="366">
        <f>Fluxo_de_Caixa_Janeiro[[#This Row],[Janeiro]]</f>
        <v>120</v>
      </c>
      <c r="D207" s="367">
        <f>Fluxo_de_Caixa_Janeiro3[[#This Row],[Fevereiro]]</f>
        <v>120</v>
      </c>
      <c r="E207" s="367">
        <f>Fluxo_de_Caixa_Janeiro34[[#This Row],[Março]]</f>
        <v>120</v>
      </c>
      <c r="F207" s="367">
        <f>Fluxo_de_Caixa_Janeiro345[[#This Row],[ABRIL]]</f>
        <v>120</v>
      </c>
      <c r="G207" s="367">
        <f>Fluxo_de_Caixa_Janeiro3459[[#This Row],[MAIO]]</f>
        <v>120</v>
      </c>
      <c r="H207" s="367">
        <f>Fluxo_de_Caixa_Janeiro345911[[#This Row],[JUNHO]]</f>
        <v>0</v>
      </c>
      <c r="I207" s="366">
        <f>Fluxo_de_Caixa_Janeiro3459117[[#This Row],[JULHO]]</f>
        <v>0</v>
      </c>
      <c r="J207" s="367">
        <f>Fluxo_de_Caixa_Janeiro345911710[[#This Row],[AGOSTO]]</f>
        <v>0</v>
      </c>
      <c r="K207" s="367">
        <f>Fluxo_de_Caixa_Janeiro34591171012[[#This Row],[SETEMBRO]]</f>
        <v>0</v>
      </c>
      <c r="L207" s="367">
        <f>Fluxo_de_Caixa_Janeiro3459117101215[[#This Row],[OUTUBRO]]</f>
        <v>0</v>
      </c>
      <c r="M207" s="367">
        <f>Fluxo_de_Caixa_Janeiro345911710121516[[#This Row],[NOVEMBRO]]</f>
        <v>0</v>
      </c>
      <c r="N207" s="368">
        <f>Fluxo_de_Caixa_Janeiro34591171012151619[[#This Row],[DEZEMBRO]]</f>
        <v>0</v>
      </c>
      <c r="O207" s="223">
        <f>SUM(Fluxo_de_Caixa_Janeiro31020818[[#This Row],[Janeiro]:[Dezembro]])</f>
        <v>600</v>
      </c>
      <c r="P207" s="193">
        <f t="shared" si="12"/>
        <v>1.2946535783001456E-4</v>
      </c>
      <c r="Q207" s="193"/>
      <c r="R207" s="32" t="str">
        <f>IF(Fluxo_de_Caixa_Janeiro31020818[[#This Row],[% ACUMULADO  ANO 2026]]&lt;=Fluxo_de_Caixa_Janeiro31020818[[#This Row],[Coluna1]],"VERDADEIRO","FALSO")</f>
        <v>FALSO</v>
      </c>
    </row>
    <row r="208" spans="2:18" x14ac:dyDescent="0.25">
      <c r="B208" s="378" t="str">
        <f>Fluxo_de_Caixa_Janeiro[[#This Row],[Fluxo de Caixa 2026 CTR]]</f>
        <v>3.7.08. Seguro Veicular</v>
      </c>
      <c r="C208" s="357">
        <f>Fluxo_de_Caixa_Janeiro[[#This Row],[Janeiro]]</f>
        <v>0</v>
      </c>
      <c r="D208" s="306">
        <f>Fluxo_de_Caixa_Janeiro3[[#This Row],[Fevereiro]]</f>
        <v>0</v>
      </c>
      <c r="E208" s="306">
        <f>Fluxo_de_Caixa_Janeiro34[[#This Row],[Março]]</f>
        <v>0</v>
      </c>
      <c r="F208" s="306">
        <f>Fluxo_de_Caixa_Janeiro345[[#This Row],[ABRIL]]</f>
        <v>0</v>
      </c>
      <c r="G208" s="306">
        <f>Fluxo_de_Caixa_Janeiro3459[[#This Row],[MAIO]]</f>
        <v>0</v>
      </c>
      <c r="H208" s="306">
        <f>Fluxo_de_Caixa_Janeiro345911[[#This Row],[JUNHO]]</f>
        <v>0</v>
      </c>
      <c r="I208" s="357">
        <f>Fluxo_de_Caixa_Janeiro3459117[[#This Row],[JULHO]]</f>
        <v>0</v>
      </c>
      <c r="J208" s="306">
        <f>Fluxo_de_Caixa_Janeiro345911710[[#This Row],[AGOSTO]]</f>
        <v>0</v>
      </c>
      <c r="K208" s="306">
        <f>Fluxo_de_Caixa_Janeiro34591171012[[#This Row],[SETEMBRO]]</f>
        <v>0</v>
      </c>
      <c r="L208" s="306">
        <f>Fluxo_de_Caixa_Janeiro3459117101215[[#This Row],[OUTUBRO]]</f>
        <v>0</v>
      </c>
      <c r="M208" s="306">
        <f>Fluxo_de_Caixa_Janeiro345911710121516[[#This Row],[NOVEMBRO]]</f>
        <v>0</v>
      </c>
      <c r="N208" s="360">
        <f>Fluxo_de_Caixa_Janeiro34591171012151619[[#This Row],[DEZEMBRO]]</f>
        <v>0</v>
      </c>
      <c r="O208" s="223">
        <f>SUM(Fluxo_de_Caixa_Janeiro31020818[[#This Row],[Janeiro]:[Dezembro]])</f>
        <v>0</v>
      </c>
      <c r="P208" s="193">
        <f>IFERROR(O208/$O$27,"0,00%")</f>
        <v>0</v>
      </c>
      <c r="Q208" s="193"/>
      <c r="R208" s="32" t="str">
        <f>IF(Fluxo_de_Caixa_Janeiro31020818[[#This Row],[% ACUMULADO  ANO 2026]]&lt;=Fluxo_de_Caixa_Janeiro31020818[[#This Row],[Coluna1]],"VERDADEIRO","FALSO")</f>
        <v>VERDADEIRO</v>
      </c>
    </row>
    <row r="209" spans="2:18" ht="15.75" thickBot="1" x14ac:dyDescent="0.3">
      <c r="B209" s="378" t="str">
        <f>Fluxo_de_Caixa_Janeiro[[#This Row],[Fluxo de Caixa 2026 CTR]]</f>
        <v>3.7.09.PEDAGIO E TRAVESSIA DE BALSA</v>
      </c>
      <c r="C209" s="369">
        <f>Fluxo_de_Caixa_Janeiro[[#This Row],[Janeiro]]</f>
        <v>0</v>
      </c>
      <c r="D209" s="370">
        <f>Fluxo_de_Caixa_Janeiro3[[#This Row],[Fevereiro]]</f>
        <v>0</v>
      </c>
      <c r="E209" s="370">
        <f>Fluxo_de_Caixa_Janeiro34[[#This Row],[Março]]</f>
        <v>0</v>
      </c>
      <c r="F209" s="370">
        <f>Fluxo_de_Caixa_Janeiro345[[#This Row],[ABRIL]]</f>
        <v>0</v>
      </c>
      <c r="G209" s="370">
        <f>Fluxo_de_Caixa_Janeiro3459[[#This Row],[MAIO]]</f>
        <v>0</v>
      </c>
      <c r="H209" s="370">
        <f>Fluxo_de_Caixa_Janeiro345911[[#This Row],[JUNHO]]</f>
        <v>0</v>
      </c>
      <c r="I209" s="369">
        <f>Fluxo_de_Caixa_Janeiro3459117[[#This Row],[JULHO]]</f>
        <v>0</v>
      </c>
      <c r="J209" s="370">
        <f>Fluxo_de_Caixa_Janeiro345911710[[#This Row],[AGOSTO]]</f>
        <v>0</v>
      </c>
      <c r="K209" s="370">
        <f>Fluxo_de_Caixa_Janeiro34591171012[[#This Row],[SETEMBRO]]</f>
        <v>0</v>
      </c>
      <c r="L209" s="370">
        <f>Fluxo_de_Caixa_Janeiro3459117101215[[#This Row],[OUTUBRO]]</f>
        <v>0</v>
      </c>
      <c r="M209" s="370">
        <f>Fluxo_de_Caixa_Janeiro345911710121516[[#This Row],[NOVEMBRO]]</f>
        <v>0</v>
      </c>
      <c r="N209" s="371">
        <f>Fluxo_de_Caixa_Janeiro34591171012151619[[#This Row],[DEZEMBRO]]</f>
        <v>0</v>
      </c>
      <c r="O209" s="223">
        <f>SUM(Fluxo_de_Caixa_Janeiro31020818[[#This Row],[Janeiro]:[Dezembro]])</f>
        <v>0</v>
      </c>
      <c r="P209" s="193">
        <f t="shared" si="12"/>
        <v>0</v>
      </c>
      <c r="Q209" s="193"/>
      <c r="R209" s="32" t="str">
        <f>IF(Fluxo_de_Caixa_Janeiro31020818[[#This Row],[% ACUMULADO  ANO 2026]]&lt;=Fluxo_de_Caixa_Janeiro31020818[[#This Row],[Coluna1]],"VERDADEIRO","FALSO")</f>
        <v>VERDADEIRO</v>
      </c>
    </row>
    <row r="210" spans="2:18" hidden="1" x14ac:dyDescent="0.25">
      <c r="B210" s="378">
        <f>Fluxo_de_Caixa_Janeiro[[#This Row],[Fluxo de Caixa 2026 CTR]]</f>
        <v>0</v>
      </c>
      <c r="C210" s="369">
        <f>Fluxo_de_Caixa_Janeiro[[#This Row],[Janeiro]]</f>
        <v>0</v>
      </c>
      <c r="D210" s="370">
        <f>Fluxo_de_Caixa_Janeiro3[[#This Row],[Fevereiro]]</f>
        <v>0</v>
      </c>
      <c r="E210" s="370">
        <f>Fluxo_de_Caixa_Janeiro34[[#This Row],[Março]]</f>
        <v>0</v>
      </c>
      <c r="F210" s="370">
        <f>Fluxo_de_Caixa_Janeiro345[[#This Row],[ABRIL]]</f>
        <v>0</v>
      </c>
      <c r="G210" s="370">
        <f>Fluxo_de_Caixa_Janeiro3459[[#This Row],[MAIO]]</f>
        <v>0</v>
      </c>
      <c r="H210" s="370">
        <f>Fluxo_de_Caixa_Janeiro345911[[#This Row],[JUNHO]]</f>
        <v>0</v>
      </c>
      <c r="I210" s="369">
        <f>Fluxo_de_Caixa_Janeiro3459117[[#This Row],[JULHO]]</f>
        <v>0</v>
      </c>
      <c r="J210" s="370">
        <f>Fluxo_de_Caixa_Janeiro345911710[[#This Row],[AGOSTO]]</f>
        <v>0</v>
      </c>
      <c r="K210" s="370">
        <f>Fluxo_de_Caixa_Janeiro34591171012[[#This Row],[SETEMBRO]]</f>
        <v>0</v>
      </c>
      <c r="L210" s="370">
        <f>Fluxo_de_Caixa_Janeiro3459117101215[[#This Row],[OUTUBRO]]</f>
        <v>0</v>
      </c>
      <c r="M210" s="370">
        <f>Fluxo_de_Caixa_Janeiro345911710121516[[#This Row],[NOVEMBRO]]</f>
        <v>0</v>
      </c>
      <c r="N210" s="371">
        <f>Fluxo_de_Caixa_Janeiro34591171012151619[[#This Row],[DEZEMBRO]]</f>
        <v>0</v>
      </c>
      <c r="O210" s="223">
        <f>SUM(Fluxo_de_Caixa_Janeiro31020818[[#This Row],[Janeiro]:[Dezembro]])</f>
        <v>0</v>
      </c>
      <c r="P210" s="193">
        <f t="shared" si="12"/>
        <v>0</v>
      </c>
      <c r="Q210" s="193"/>
      <c r="R210" s="32" t="str">
        <f>IF(Fluxo_de_Caixa_Janeiro31020818[[#This Row],[% ACUMULADO  ANO 2026]]&lt;=Fluxo_de_Caixa_Janeiro31020818[[#This Row],[Coluna1]],"VERDADEIRO","FALSO")</f>
        <v>VERDADEIRO</v>
      </c>
    </row>
    <row r="211" spans="2:18" ht="15.75" hidden="1" thickBot="1" x14ac:dyDescent="0.3">
      <c r="B211" s="389">
        <f>Fluxo_de_Caixa_Janeiro[[#This Row],[Fluxo de Caixa 2026 CTR]]</f>
        <v>0</v>
      </c>
      <c r="C211" s="366">
        <f>Fluxo_de_Caixa_Janeiro[[#This Row],[Janeiro]]</f>
        <v>0</v>
      </c>
      <c r="D211" s="367">
        <f>Fluxo_de_Caixa_Janeiro3[[#This Row],[Fevereiro]]</f>
        <v>0</v>
      </c>
      <c r="E211" s="367">
        <f>Fluxo_de_Caixa_Janeiro34[[#This Row],[Março]]</f>
        <v>0</v>
      </c>
      <c r="F211" s="367">
        <f>Fluxo_de_Caixa_Janeiro345[[#This Row],[ABRIL]]</f>
        <v>0</v>
      </c>
      <c r="G211" s="367">
        <f>Fluxo_de_Caixa_Janeiro3459[[#This Row],[MAIO]]</f>
        <v>0</v>
      </c>
      <c r="H211" s="367">
        <f>Fluxo_de_Caixa_Janeiro345911[[#This Row],[JUNHO]]</f>
        <v>0</v>
      </c>
      <c r="I211" s="366">
        <f>Fluxo_de_Caixa_Janeiro3459117[[#This Row],[JULHO]]</f>
        <v>0</v>
      </c>
      <c r="J211" s="367">
        <f>Fluxo_de_Caixa_Janeiro345911710[[#This Row],[AGOSTO]]</f>
        <v>0</v>
      </c>
      <c r="K211" s="367">
        <f>Fluxo_de_Caixa_Janeiro34591171012[[#This Row],[SETEMBRO]]</f>
        <v>0</v>
      </c>
      <c r="L211" s="367">
        <f>Fluxo_de_Caixa_Janeiro3459117101215[[#This Row],[OUTUBRO]]</f>
        <v>0</v>
      </c>
      <c r="M211" s="367">
        <f>Fluxo_de_Caixa_Janeiro345911710121516[[#This Row],[NOVEMBRO]]</f>
        <v>0</v>
      </c>
      <c r="N211" s="368">
        <f>Fluxo_de_Caixa_Janeiro34591171012151619[[#This Row],[DEZEMBRO]]</f>
        <v>0</v>
      </c>
      <c r="O211" s="223">
        <f>SUM(Fluxo_de_Caixa_Janeiro31020818[[#This Row],[Janeiro]:[Dezembro]])</f>
        <v>0</v>
      </c>
      <c r="P211" s="193">
        <f t="shared" si="12"/>
        <v>0</v>
      </c>
      <c r="Q211" s="193"/>
      <c r="R211" s="32" t="str">
        <f>IF(Fluxo_de_Caixa_Janeiro31020818[[#This Row],[% ACUMULADO  ANO 2026]]&lt;=Fluxo_de_Caixa_Janeiro31020818[[#This Row],[Coluna1]],"VERDADEIRO","FALSO")</f>
        <v>VERDADEIRO</v>
      </c>
    </row>
    <row r="212" spans="2:18" ht="19.5" thickBot="1" x14ac:dyDescent="0.35">
      <c r="B212" s="277" t="str">
        <f>Fluxo_de_Caixa_Janeiro[[#This Row],[Fluxo de Caixa 2026 CTR]]</f>
        <v>3.8. IMPOSTOS ADMINISTRATIVOS</v>
      </c>
      <c r="C212" s="158">
        <f>Fluxo_de_Caixa_Janeiro[[#This Row],[Janeiro]]</f>
        <v>-29.17</v>
      </c>
      <c r="D212" s="97">
        <f>Fluxo_de_Caixa_Janeiro3[[#This Row],[Fevereiro]]</f>
        <v>-386.46000000000004</v>
      </c>
      <c r="E212" s="97">
        <f>Fluxo_de_Caixa_Janeiro34[[#This Row],[Março]]</f>
        <v>0</v>
      </c>
      <c r="F212" s="97">
        <f>Fluxo_de_Caixa_Janeiro345[[#This Row],[ABRIL]]</f>
        <v>0</v>
      </c>
      <c r="G212" s="97">
        <f>Fluxo_de_Caixa_Janeiro3459[[#This Row],[MAIO]]</f>
        <v>0</v>
      </c>
      <c r="H212" s="97">
        <f>Fluxo_de_Caixa_Janeiro345911[[#This Row],[JUNHO]]</f>
        <v>0</v>
      </c>
      <c r="I212" s="158">
        <f>Fluxo_de_Caixa_Janeiro3459117[[#This Row],[JULHO]]</f>
        <v>0</v>
      </c>
      <c r="J212" s="97">
        <f>Fluxo_de_Caixa_Janeiro345911710[[#This Row],[AGOSTO]]</f>
        <v>0</v>
      </c>
      <c r="K212" s="97">
        <f>Fluxo_de_Caixa_Janeiro34591171012[[#This Row],[SETEMBRO]]</f>
        <v>0</v>
      </c>
      <c r="L212" s="97">
        <f>Fluxo_de_Caixa_Janeiro3459117101215[[#This Row],[OUTUBRO]]</f>
        <v>0</v>
      </c>
      <c r="M212" s="97">
        <f>Fluxo_de_Caixa_Janeiro345911710121516[[#This Row],[NOVEMBRO]]</f>
        <v>0</v>
      </c>
      <c r="N212" s="129">
        <f>Fluxo_de_Caixa_Janeiro34591171012151619[[#This Row],[DEZEMBRO]]</f>
        <v>0</v>
      </c>
      <c r="O212" s="226">
        <f>SUM(Fluxo_de_Caixa_Janeiro31020818[[#This Row],[Janeiro]:[Dezembro]])</f>
        <v>-415.63000000000005</v>
      </c>
      <c r="P212" s="144">
        <f>-IFERROR(O212/$O$27,"0,00")</f>
        <v>8.9682811124814938E-5</v>
      </c>
      <c r="Q212" s="144"/>
      <c r="R212" s="32" t="str">
        <f>IF(Fluxo_de_Caixa_Janeiro31020818[[#This Row],[% ACUMULADO  ANO 2026]]&lt;=Fluxo_de_Caixa_Janeiro31020818[[#This Row],[Coluna1]],"VERDADEIRO","FALSO")</f>
        <v>FALSO</v>
      </c>
    </row>
    <row r="213" spans="2:18" hidden="1" x14ac:dyDescent="0.25">
      <c r="B213" s="390">
        <f>Fluxo_de_Caixa_Janeiro[[#This Row],[Fluxo de Caixa 2026 CTR]]</f>
        <v>0</v>
      </c>
      <c r="C213" s="369">
        <f>Fluxo_de_Caixa_Janeiro[[#This Row],[Janeiro]]</f>
        <v>0</v>
      </c>
      <c r="D213" s="370">
        <f>Fluxo_de_Caixa_Janeiro3[[#This Row],[Fevereiro]]</f>
        <v>0</v>
      </c>
      <c r="E213" s="370">
        <f>Fluxo_de_Caixa_Janeiro34[[#This Row],[Março]]</f>
        <v>0</v>
      </c>
      <c r="F213" s="370">
        <f>Fluxo_de_Caixa_Janeiro345[[#This Row],[ABRIL]]</f>
        <v>0</v>
      </c>
      <c r="G213" s="370">
        <f>Fluxo_de_Caixa_Janeiro3459[[#This Row],[MAIO]]</f>
        <v>0</v>
      </c>
      <c r="H213" s="370">
        <f>Fluxo_de_Caixa_Janeiro345911[[#This Row],[JUNHO]]</f>
        <v>0</v>
      </c>
      <c r="I213" s="369">
        <f>Fluxo_de_Caixa_Janeiro3459117[[#This Row],[JULHO]]</f>
        <v>0</v>
      </c>
      <c r="J213" s="370">
        <f>Fluxo_de_Caixa_Janeiro345911710[[#This Row],[AGOSTO]]</f>
        <v>0</v>
      </c>
      <c r="K213" s="370">
        <f>Fluxo_de_Caixa_Janeiro34591171012[[#This Row],[SETEMBRO]]</f>
        <v>0</v>
      </c>
      <c r="L213" s="370">
        <f>Fluxo_de_Caixa_Janeiro3459117101215[[#This Row],[OUTUBRO]]</f>
        <v>0</v>
      </c>
      <c r="M213" s="370">
        <f>Fluxo_de_Caixa_Janeiro345911710121516[[#This Row],[NOVEMBRO]]</f>
        <v>0</v>
      </c>
      <c r="N213" s="371">
        <f>Fluxo_de_Caixa_Janeiro34591171012151619[[#This Row],[DEZEMBRO]]</f>
        <v>0</v>
      </c>
      <c r="O213" s="396">
        <f>SUM(Fluxo_de_Caixa_Janeiro31020818[[#This Row],[Janeiro]:[Dezembro]])</f>
        <v>0</v>
      </c>
      <c r="P213" s="398"/>
      <c r="Q213" s="398"/>
      <c r="R213" s="32" t="str">
        <f>IF(Fluxo_de_Caixa_Janeiro31020818[[#This Row],[% ACUMULADO  ANO 2026]]&lt;=Fluxo_de_Caixa_Janeiro31020818[[#This Row],[Coluna1]],"VERDADEIRO","FALSO")</f>
        <v>VERDADEIRO</v>
      </c>
    </row>
    <row r="214" spans="2:18" hidden="1" x14ac:dyDescent="0.25">
      <c r="B214" s="378">
        <f>Fluxo_de_Caixa_Janeiro[[#This Row],[Fluxo de Caixa 2026 CTR]]</f>
        <v>0</v>
      </c>
      <c r="C214" s="357">
        <f>Fluxo_de_Caixa_Janeiro[[#This Row],[Janeiro]]</f>
        <v>0</v>
      </c>
      <c r="D214" s="306">
        <f>Fluxo_de_Caixa_Janeiro3[[#This Row],[Fevereiro]]</f>
        <v>0</v>
      </c>
      <c r="E214" s="306">
        <f>Fluxo_de_Caixa_Janeiro34[[#This Row],[Março]]</f>
        <v>0</v>
      </c>
      <c r="F214" s="306">
        <f>Fluxo_de_Caixa_Janeiro345[[#This Row],[ABRIL]]</f>
        <v>0</v>
      </c>
      <c r="G214" s="306">
        <f>Fluxo_de_Caixa_Janeiro3459[[#This Row],[MAIO]]</f>
        <v>0</v>
      </c>
      <c r="H214" s="306">
        <f>Fluxo_de_Caixa_Janeiro345911[[#This Row],[JUNHO]]</f>
        <v>0</v>
      </c>
      <c r="I214" s="357">
        <f>Fluxo_de_Caixa_Janeiro3459117[[#This Row],[JULHO]]</f>
        <v>0</v>
      </c>
      <c r="J214" s="306">
        <f>Fluxo_de_Caixa_Janeiro345911710[[#This Row],[AGOSTO]]</f>
        <v>0</v>
      </c>
      <c r="K214" s="306">
        <f>Fluxo_de_Caixa_Janeiro34591171012[[#This Row],[SETEMBRO]]</f>
        <v>0</v>
      </c>
      <c r="L214" s="306">
        <f>Fluxo_de_Caixa_Janeiro3459117101215[[#This Row],[OUTUBRO]]</f>
        <v>0</v>
      </c>
      <c r="M214" s="306">
        <f>Fluxo_de_Caixa_Janeiro345911710121516[[#This Row],[NOVEMBRO]]</f>
        <v>0</v>
      </c>
      <c r="N214" s="306">
        <f>Fluxo_de_Caixa_Janeiro34591171012151619[[#This Row],[DEZEMBRO]]</f>
        <v>0</v>
      </c>
      <c r="O214" s="396">
        <f>SUM(Fluxo_de_Caixa_Janeiro31020818[[#This Row],[Janeiro]:[Dezembro]])</f>
        <v>0</v>
      </c>
      <c r="P214" s="398"/>
      <c r="Q214" s="398"/>
      <c r="R214" s="32" t="str">
        <f>IF(Fluxo_de_Caixa_Janeiro31020818[[#This Row],[% ACUMULADO  ANO 2026]]&lt;=Fluxo_de_Caixa_Janeiro31020818[[#This Row],[Coluna1]],"VERDADEIRO","FALSO")</f>
        <v>VERDADEIRO</v>
      </c>
    </row>
    <row r="215" spans="2:18" x14ac:dyDescent="0.25">
      <c r="B215" s="378" t="str">
        <f>Fluxo_de_Caixa_Janeiro[[#This Row],[Fluxo de Caixa 2026 CTR]]</f>
        <v xml:space="preserve">3.8.03.ICMS-DIFERENCIAL DE ALIQUOTA </v>
      </c>
      <c r="C215" s="357">
        <f>Fluxo_de_Caixa_Janeiro[[#This Row],[Janeiro]]</f>
        <v>29.17</v>
      </c>
      <c r="D215" s="306">
        <f>Fluxo_de_Caixa_Janeiro3[[#This Row],[Fevereiro]]</f>
        <v>297.67</v>
      </c>
      <c r="E215" s="306">
        <f>Fluxo_de_Caixa_Janeiro34[[#This Row],[Março]]</f>
        <v>0</v>
      </c>
      <c r="F215" s="306">
        <f>Fluxo_de_Caixa_Janeiro345[[#This Row],[ABRIL]]</f>
        <v>0</v>
      </c>
      <c r="G215" s="306">
        <f>Fluxo_de_Caixa_Janeiro3459[[#This Row],[MAIO]]</f>
        <v>0</v>
      </c>
      <c r="H215" s="306">
        <f>Fluxo_de_Caixa_Janeiro345911[[#This Row],[JUNHO]]</f>
        <v>0</v>
      </c>
      <c r="I215" s="357">
        <f>Fluxo_de_Caixa_Janeiro3459117[[#This Row],[JULHO]]</f>
        <v>0</v>
      </c>
      <c r="J215" s="306">
        <f>Fluxo_de_Caixa_Janeiro345911710[[#This Row],[AGOSTO]]</f>
        <v>0</v>
      </c>
      <c r="K215" s="306">
        <f>Fluxo_de_Caixa_Janeiro34591171012[[#This Row],[SETEMBRO]]</f>
        <v>0</v>
      </c>
      <c r="L215" s="306">
        <f>Fluxo_de_Caixa_Janeiro3459117101215[[#This Row],[OUTUBRO]]</f>
        <v>0</v>
      </c>
      <c r="M215" s="306">
        <f>Fluxo_de_Caixa_Janeiro345911710121516[[#This Row],[NOVEMBRO]]</f>
        <v>0</v>
      </c>
      <c r="N215" s="306">
        <f>Fluxo_de_Caixa_Janeiro34591171012151619[[#This Row],[DEZEMBRO]]</f>
        <v>0</v>
      </c>
      <c r="O215" s="223">
        <f>SUM(Fluxo_de_Caixa_Janeiro31020818[[#This Row],[Janeiro]:[Dezembro]])</f>
        <v>326.84000000000003</v>
      </c>
      <c r="P215" s="193">
        <f>IFERROR(O215/$O$27,"0,00%")</f>
        <v>7.0524095921936604E-5</v>
      </c>
      <c r="Q215" s="193"/>
      <c r="R215" s="32" t="str">
        <f>IF(Fluxo_de_Caixa_Janeiro31020818[[#This Row],[% ACUMULADO  ANO 2026]]&lt;=Fluxo_de_Caixa_Janeiro31020818[[#This Row],[Coluna1]],"VERDADEIRO","FALSO")</f>
        <v>FALSO</v>
      </c>
    </row>
    <row r="216" spans="2:18" hidden="1" x14ac:dyDescent="0.25">
      <c r="B216" s="378">
        <f>Fluxo_de_Caixa_Janeiro[[#This Row],[Fluxo de Caixa 2026 CTR]]</f>
        <v>0</v>
      </c>
      <c r="C216" s="357">
        <f>Fluxo_de_Caixa_Janeiro[[#This Row],[Janeiro]]</f>
        <v>0</v>
      </c>
      <c r="D216" s="306">
        <f>Fluxo_de_Caixa_Janeiro3[[#This Row],[Fevereiro]]</f>
        <v>0</v>
      </c>
      <c r="E216" s="306">
        <f>Fluxo_de_Caixa_Janeiro34[[#This Row],[Março]]</f>
        <v>0</v>
      </c>
      <c r="F216" s="306">
        <f>Fluxo_de_Caixa_Janeiro345[[#This Row],[ABRIL]]</f>
        <v>0</v>
      </c>
      <c r="G216" s="306">
        <f>Fluxo_de_Caixa_Janeiro3459[[#This Row],[MAIO]]</f>
        <v>0</v>
      </c>
      <c r="H216" s="306">
        <f>Fluxo_de_Caixa_Janeiro345911[[#This Row],[JUNHO]]</f>
        <v>0</v>
      </c>
      <c r="I216" s="357">
        <f>Fluxo_de_Caixa_Janeiro3459117[[#This Row],[JULHO]]</f>
        <v>0</v>
      </c>
      <c r="J216" s="306">
        <f>Fluxo_de_Caixa_Janeiro345911710[[#This Row],[AGOSTO]]</f>
        <v>0</v>
      </c>
      <c r="K216" s="306">
        <f>Fluxo_de_Caixa_Janeiro34591171012[[#This Row],[SETEMBRO]]</f>
        <v>0</v>
      </c>
      <c r="L216" s="306">
        <f>Fluxo_de_Caixa_Janeiro3459117101215[[#This Row],[OUTUBRO]]</f>
        <v>0</v>
      </c>
      <c r="M216" s="306">
        <f>Fluxo_de_Caixa_Janeiro345911710121516[[#This Row],[NOVEMBRO]]</f>
        <v>0</v>
      </c>
      <c r="N216" s="306">
        <f>Fluxo_de_Caixa_Janeiro34591171012151619[[#This Row],[DEZEMBRO]]</f>
        <v>0</v>
      </c>
      <c r="O216" s="223">
        <f>SUM(Fluxo_de_Caixa_Janeiro31020818[[#This Row],[Janeiro]:[Dezembro]])</f>
        <v>0</v>
      </c>
      <c r="P216" s="398"/>
      <c r="Q216" s="398"/>
      <c r="R216" s="32" t="str">
        <f>IF(Fluxo_de_Caixa_Janeiro31020818[[#This Row],[% ACUMULADO  ANO 2026]]&lt;=Fluxo_de_Caixa_Janeiro31020818[[#This Row],[Coluna1]],"VERDADEIRO","FALSO")</f>
        <v>VERDADEIRO</v>
      </c>
    </row>
    <row r="217" spans="2:18" x14ac:dyDescent="0.25">
      <c r="B217" s="378" t="str">
        <f>Fluxo_de_Caixa_Janeiro[[#This Row],[Fluxo de Caixa 2026 CTR]]</f>
        <v>3.8.05. IR</v>
      </c>
      <c r="C217" s="357">
        <f>Fluxo_de_Caixa_Janeiro[[#This Row],[Janeiro]]</f>
        <v>0</v>
      </c>
      <c r="D217" s="306">
        <f>Fluxo_de_Caixa_Janeiro3[[#This Row],[Fevereiro]]</f>
        <v>88.79</v>
      </c>
      <c r="E217" s="306">
        <f>Fluxo_de_Caixa_Janeiro34[[#This Row],[Março]]</f>
        <v>0</v>
      </c>
      <c r="F217" s="306">
        <f>Fluxo_de_Caixa_Janeiro345[[#This Row],[ABRIL]]</f>
        <v>0</v>
      </c>
      <c r="G217" s="306">
        <f>Fluxo_de_Caixa_Janeiro3459[[#This Row],[MAIO]]</f>
        <v>0</v>
      </c>
      <c r="H217" s="306">
        <f>Fluxo_de_Caixa_Janeiro345911[[#This Row],[JUNHO]]</f>
        <v>0</v>
      </c>
      <c r="I217" s="357">
        <f>Fluxo_de_Caixa_Janeiro3459117[[#This Row],[JULHO]]</f>
        <v>0</v>
      </c>
      <c r="J217" s="306">
        <f>Fluxo_de_Caixa_Janeiro345911710[[#This Row],[AGOSTO]]</f>
        <v>0</v>
      </c>
      <c r="K217" s="306">
        <f>Fluxo_de_Caixa_Janeiro34591171012[[#This Row],[SETEMBRO]]</f>
        <v>0</v>
      </c>
      <c r="L217" s="306">
        <f>Fluxo_de_Caixa_Janeiro3459117101215[[#This Row],[OUTUBRO]]</f>
        <v>0</v>
      </c>
      <c r="M217" s="306">
        <f>Fluxo_de_Caixa_Janeiro345911710121516[[#This Row],[NOVEMBRO]]</f>
        <v>0</v>
      </c>
      <c r="N217" s="306">
        <f>Fluxo_de_Caixa_Janeiro34591171012151619[[#This Row],[DEZEMBRO]]</f>
        <v>0</v>
      </c>
      <c r="O217" s="223">
        <f>SUM(Fluxo_de_Caixa_Janeiro31020818[[#This Row],[Janeiro]:[Dezembro]])</f>
        <v>88.79</v>
      </c>
      <c r="P217" s="193">
        <f t="shared" ref="P217:P228" si="13">IFERROR(O217/$O$27,"0,00%")</f>
        <v>1.9158715202878324E-5</v>
      </c>
      <c r="Q217" s="193"/>
      <c r="R217" s="32" t="str">
        <f>IF(Fluxo_de_Caixa_Janeiro31020818[[#This Row],[% ACUMULADO  ANO 2026]]&lt;=Fluxo_de_Caixa_Janeiro31020818[[#This Row],[Coluna1]],"VERDADEIRO","FALSO")</f>
        <v>FALSO</v>
      </c>
    </row>
    <row r="218" spans="2:18" x14ac:dyDescent="0.25">
      <c r="B218" s="378" t="str">
        <f>Fluxo_de_Caixa_Janeiro[[#This Row],[Fluxo de Caixa 2026 CTR]]</f>
        <v>3.8.06. CSLL</v>
      </c>
      <c r="C218" s="357">
        <f>Fluxo_de_Caixa_Janeiro[[#This Row],[Janeiro]]</f>
        <v>0</v>
      </c>
      <c r="D218" s="306">
        <f>Fluxo_de_Caixa_Janeiro3[[#This Row],[Fevereiro]]</f>
        <v>0</v>
      </c>
      <c r="E218" s="306">
        <f>Fluxo_de_Caixa_Janeiro34[[#This Row],[Março]]</f>
        <v>0</v>
      </c>
      <c r="F218" s="306">
        <f>Fluxo_de_Caixa_Janeiro345[[#This Row],[ABRIL]]</f>
        <v>0</v>
      </c>
      <c r="G218" s="306">
        <f>Fluxo_de_Caixa_Janeiro3459[[#This Row],[MAIO]]</f>
        <v>0</v>
      </c>
      <c r="H218" s="306">
        <f>Fluxo_de_Caixa_Janeiro345911[[#This Row],[JUNHO]]</f>
        <v>0</v>
      </c>
      <c r="I218" s="357">
        <f>Fluxo_de_Caixa_Janeiro3459117[[#This Row],[JULHO]]</f>
        <v>0</v>
      </c>
      <c r="J218" s="306">
        <f>Fluxo_de_Caixa_Janeiro345911710[[#This Row],[AGOSTO]]</f>
        <v>0</v>
      </c>
      <c r="K218" s="306">
        <f>Fluxo_de_Caixa_Janeiro34591171012[[#This Row],[SETEMBRO]]</f>
        <v>0</v>
      </c>
      <c r="L218" s="306">
        <f>Fluxo_de_Caixa_Janeiro3459117101215[[#This Row],[OUTUBRO]]</f>
        <v>0</v>
      </c>
      <c r="M218" s="306">
        <f>Fluxo_de_Caixa_Janeiro345911710121516[[#This Row],[NOVEMBRO]]</f>
        <v>0</v>
      </c>
      <c r="N218" s="306">
        <f>Fluxo_de_Caixa_Janeiro34591171012151619[[#This Row],[DEZEMBRO]]</f>
        <v>0</v>
      </c>
      <c r="O218" s="223">
        <f>SUM(Fluxo_de_Caixa_Janeiro31020818[[#This Row],[Janeiro]:[Dezembro]])</f>
        <v>0</v>
      </c>
      <c r="P218" s="193">
        <f t="shared" si="13"/>
        <v>0</v>
      </c>
      <c r="Q218" s="193"/>
      <c r="R218" s="32" t="str">
        <f>IF(Fluxo_de_Caixa_Janeiro31020818[[#This Row],[% ACUMULADO  ANO 2026]]&lt;=Fluxo_de_Caixa_Janeiro31020818[[#This Row],[Coluna1]],"VERDADEIRO","FALSO")</f>
        <v>VERDADEIRO</v>
      </c>
    </row>
    <row r="219" spans="2:18" x14ac:dyDescent="0.25">
      <c r="B219" s="378" t="str">
        <f>Fluxo_de_Caixa_Janeiro[[#This Row],[Fluxo de Caixa 2026 CTR]]</f>
        <v>3.8.07. IPTU</v>
      </c>
      <c r="C219" s="357">
        <f>Fluxo_de_Caixa_Janeiro[[#This Row],[Janeiro]]</f>
        <v>0</v>
      </c>
      <c r="D219" s="306">
        <f>Fluxo_de_Caixa_Janeiro3[[#This Row],[Fevereiro]]</f>
        <v>0</v>
      </c>
      <c r="E219" s="306">
        <f>Fluxo_de_Caixa_Janeiro34[[#This Row],[Março]]</f>
        <v>0</v>
      </c>
      <c r="F219" s="306">
        <f>Fluxo_de_Caixa_Janeiro345[[#This Row],[ABRIL]]</f>
        <v>0</v>
      </c>
      <c r="G219" s="306">
        <f>Fluxo_de_Caixa_Janeiro3459[[#This Row],[MAIO]]</f>
        <v>0</v>
      </c>
      <c r="H219" s="306">
        <f>Fluxo_de_Caixa_Janeiro345911[[#This Row],[JUNHO]]</f>
        <v>0</v>
      </c>
      <c r="I219" s="357">
        <f>Fluxo_de_Caixa_Janeiro3459117[[#This Row],[JULHO]]</f>
        <v>0</v>
      </c>
      <c r="J219" s="306">
        <f>Fluxo_de_Caixa_Janeiro345911710[[#This Row],[AGOSTO]]</f>
        <v>0</v>
      </c>
      <c r="K219" s="306">
        <f>Fluxo_de_Caixa_Janeiro34591171012[[#This Row],[SETEMBRO]]</f>
        <v>0</v>
      </c>
      <c r="L219" s="306">
        <f>Fluxo_de_Caixa_Janeiro3459117101215[[#This Row],[OUTUBRO]]</f>
        <v>0</v>
      </c>
      <c r="M219" s="306">
        <f>Fluxo_de_Caixa_Janeiro345911710121516[[#This Row],[NOVEMBRO]]</f>
        <v>0</v>
      </c>
      <c r="N219" s="306">
        <f>Fluxo_de_Caixa_Janeiro34591171012151619[[#This Row],[DEZEMBRO]]</f>
        <v>0</v>
      </c>
      <c r="O219" s="223">
        <f>SUM(Fluxo_de_Caixa_Janeiro31020818[[#This Row],[Janeiro]:[Dezembro]])</f>
        <v>0</v>
      </c>
      <c r="P219" s="193">
        <f t="shared" si="13"/>
        <v>0</v>
      </c>
      <c r="Q219" s="193"/>
      <c r="R219" s="32" t="str">
        <f>IF(Fluxo_de_Caixa_Janeiro31020818[[#This Row],[% ACUMULADO  ANO 2026]]&lt;=Fluxo_de_Caixa_Janeiro31020818[[#This Row],[Coluna1]],"VERDADEIRO","FALSO")</f>
        <v>VERDADEIRO</v>
      </c>
    </row>
    <row r="220" spans="2:18" x14ac:dyDescent="0.25">
      <c r="B220" s="378" t="str">
        <f>Fluxo_de_Caixa_Janeiro[[#This Row],[Fluxo de Caixa 2026 CTR]]</f>
        <v>3.8.08.OUTROS TRIBUTOS MUNICIPAIS</v>
      </c>
      <c r="C220" s="357">
        <f>Fluxo_de_Caixa_Janeiro[[#This Row],[Janeiro]]</f>
        <v>0</v>
      </c>
      <c r="D220" s="306">
        <f>Fluxo_de_Caixa_Janeiro3[[#This Row],[Fevereiro]]</f>
        <v>0</v>
      </c>
      <c r="E220" s="306">
        <f>Fluxo_de_Caixa_Janeiro34[[#This Row],[Março]]</f>
        <v>0</v>
      </c>
      <c r="F220" s="306">
        <f>Fluxo_de_Caixa_Janeiro345[[#This Row],[ABRIL]]</f>
        <v>0</v>
      </c>
      <c r="G220" s="306">
        <f>Fluxo_de_Caixa_Janeiro3459[[#This Row],[MAIO]]</f>
        <v>0</v>
      </c>
      <c r="H220" s="306">
        <f>Fluxo_de_Caixa_Janeiro345911[[#This Row],[JUNHO]]</f>
        <v>0</v>
      </c>
      <c r="I220" s="357">
        <f>Fluxo_de_Caixa_Janeiro3459117[[#This Row],[JULHO]]</f>
        <v>0</v>
      </c>
      <c r="J220" s="306">
        <f>Fluxo_de_Caixa_Janeiro345911710[[#This Row],[AGOSTO]]</f>
        <v>0</v>
      </c>
      <c r="K220" s="306">
        <f>Fluxo_de_Caixa_Janeiro34591171012[[#This Row],[SETEMBRO]]</f>
        <v>0</v>
      </c>
      <c r="L220" s="306">
        <f>Fluxo_de_Caixa_Janeiro3459117101215[[#This Row],[OUTUBRO]]</f>
        <v>0</v>
      </c>
      <c r="M220" s="306">
        <f>Fluxo_de_Caixa_Janeiro345911710121516[[#This Row],[NOVEMBRO]]</f>
        <v>0</v>
      </c>
      <c r="N220" s="306">
        <f>Fluxo_de_Caixa_Janeiro34591171012151619[[#This Row],[DEZEMBRO]]</f>
        <v>0</v>
      </c>
      <c r="O220" s="223">
        <f>SUM(Fluxo_de_Caixa_Janeiro31020818[[#This Row],[Janeiro]:[Dezembro]])</f>
        <v>0</v>
      </c>
      <c r="P220" s="193">
        <f t="shared" si="13"/>
        <v>0</v>
      </c>
      <c r="Q220" s="193"/>
      <c r="R220" s="32" t="str">
        <f>IF(Fluxo_de_Caixa_Janeiro31020818[[#This Row],[% ACUMULADO  ANO 2026]]&lt;=Fluxo_de_Caixa_Janeiro31020818[[#This Row],[Coluna1]],"VERDADEIRO","FALSO")</f>
        <v>VERDADEIRO</v>
      </c>
    </row>
    <row r="221" spans="2:18" x14ac:dyDescent="0.25">
      <c r="B221" s="378" t="str">
        <f>Fluxo_de_Caixa_Janeiro[[#This Row],[Fluxo de Caixa 2026 CTR]]</f>
        <v>3.8.09.OUTROS TRIBUTOS ESTADUAIS</v>
      </c>
      <c r="C221" s="357">
        <f>Fluxo_de_Caixa_Janeiro[[#This Row],[Janeiro]]</f>
        <v>0</v>
      </c>
      <c r="D221" s="306">
        <f>Fluxo_de_Caixa_Janeiro3[[#This Row],[Fevereiro]]</f>
        <v>0</v>
      </c>
      <c r="E221" s="306">
        <f>Fluxo_de_Caixa_Janeiro34[[#This Row],[Março]]</f>
        <v>0</v>
      </c>
      <c r="F221" s="306">
        <f>Fluxo_de_Caixa_Janeiro345[[#This Row],[ABRIL]]</f>
        <v>0</v>
      </c>
      <c r="G221" s="306">
        <f>Fluxo_de_Caixa_Janeiro3459[[#This Row],[MAIO]]</f>
        <v>0</v>
      </c>
      <c r="H221" s="306">
        <f>Fluxo_de_Caixa_Janeiro345911[[#This Row],[JUNHO]]</f>
        <v>0</v>
      </c>
      <c r="I221" s="357">
        <f>Fluxo_de_Caixa_Janeiro3459117[[#This Row],[JULHO]]</f>
        <v>0</v>
      </c>
      <c r="J221" s="306">
        <f>Fluxo_de_Caixa_Janeiro345911710[[#This Row],[AGOSTO]]</f>
        <v>0</v>
      </c>
      <c r="K221" s="306">
        <f>Fluxo_de_Caixa_Janeiro34591171012[[#This Row],[SETEMBRO]]</f>
        <v>0</v>
      </c>
      <c r="L221" s="306">
        <f>Fluxo_de_Caixa_Janeiro3459117101215[[#This Row],[OUTUBRO]]</f>
        <v>0</v>
      </c>
      <c r="M221" s="306">
        <f>Fluxo_de_Caixa_Janeiro345911710121516[[#This Row],[NOVEMBRO]]</f>
        <v>0</v>
      </c>
      <c r="N221" s="306">
        <f>Fluxo_de_Caixa_Janeiro34591171012151619[[#This Row],[DEZEMBRO]]</f>
        <v>0</v>
      </c>
      <c r="O221" s="223">
        <f>SUM(Fluxo_de_Caixa_Janeiro31020818[[#This Row],[Janeiro]:[Dezembro]])</f>
        <v>0</v>
      </c>
      <c r="P221" s="193">
        <f t="shared" si="13"/>
        <v>0</v>
      </c>
      <c r="Q221" s="193"/>
      <c r="R221" s="32" t="str">
        <f>IF(Fluxo_de_Caixa_Janeiro31020818[[#This Row],[% ACUMULADO  ANO 2026]]&lt;=Fluxo_de_Caixa_Janeiro31020818[[#This Row],[Coluna1]],"VERDADEIRO","FALSO")</f>
        <v>VERDADEIRO</v>
      </c>
    </row>
    <row r="222" spans="2:18" x14ac:dyDescent="0.25">
      <c r="B222" s="378" t="str">
        <f>Fluxo_de_Caixa_Janeiro[[#This Row],[Fluxo de Caixa 2026 CTR]]</f>
        <v>3.8.10.OUTROS TRIBUTOS FEDERAIS</v>
      </c>
      <c r="C222" s="357">
        <f>Fluxo_de_Caixa_Janeiro[[#This Row],[Janeiro]]</f>
        <v>0</v>
      </c>
      <c r="D222" s="306">
        <f>Fluxo_de_Caixa_Janeiro3[[#This Row],[Fevereiro]]</f>
        <v>0</v>
      </c>
      <c r="E222" s="306">
        <f>Fluxo_de_Caixa_Janeiro34[[#This Row],[Março]]</f>
        <v>0</v>
      </c>
      <c r="F222" s="306">
        <f>Fluxo_de_Caixa_Janeiro345[[#This Row],[ABRIL]]</f>
        <v>0</v>
      </c>
      <c r="G222" s="306">
        <f>Fluxo_de_Caixa_Janeiro3459[[#This Row],[MAIO]]</f>
        <v>0</v>
      </c>
      <c r="H222" s="306">
        <f>Fluxo_de_Caixa_Janeiro345911[[#This Row],[JUNHO]]</f>
        <v>0</v>
      </c>
      <c r="I222" s="357">
        <f>Fluxo_de_Caixa_Janeiro3459117[[#This Row],[JULHO]]</f>
        <v>0</v>
      </c>
      <c r="J222" s="306">
        <f>Fluxo_de_Caixa_Janeiro345911710[[#This Row],[AGOSTO]]</f>
        <v>0</v>
      </c>
      <c r="K222" s="306">
        <f>Fluxo_de_Caixa_Janeiro34591171012[[#This Row],[SETEMBRO]]</f>
        <v>0</v>
      </c>
      <c r="L222" s="306">
        <f>Fluxo_de_Caixa_Janeiro3459117101215[[#This Row],[OUTUBRO]]</f>
        <v>0</v>
      </c>
      <c r="M222" s="306">
        <f>Fluxo_de_Caixa_Janeiro345911710121516[[#This Row],[NOVEMBRO]]</f>
        <v>0</v>
      </c>
      <c r="N222" s="306">
        <f>Fluxo_de_Caixa_Janeiro34591171012151619[[#This Row],[DEZEMBRO]]</f>
        <v>0</v>
      </c>
      <c r="O222" s="223">
        <f>SUM(Fluxo_de_Caixa_Janeiro31020818[[#This Row],[Janeiro]:[Dezembro]])</f>
        <v>0</v>
      </c>
      <c r="P222" s="193">
        <f t="shared" si="13"/>
        <v>0</v>
      </c>
      <c r="Q222" s="193"/>
      <c r="R222" s="32" t="str">
        <f>IF(Fluxo_de_Caixa_Janeiro31020818[[#This Row],[% ACUMULADO  ANO 2026]]&lt;=Fluxo_de_Caixa_Janeiro31020818[[#This Row],[Coluna1]],"VERDADEIRO","FALSO")</f>
        <v>VERDADEIRO</v>
      </c>
    </row>
    <row r="223" spans="2:18" x14ac:dyDescent="0.25">
      <c r="B223" s="378" t="str">
        <f>Fluxo_de_Caixa_Janeiro[[#This Row],[Fluxo de Caixa 2026 CTR]]</f>
        <v>3.8.11. IRRF S/ SERVIÇO DE TERCEIRO</v>
      </c>
      <c r="C223" s="357">
        <f>Fluxo_de_Caixa_Janeiro[[#This Row],[Janeiro]]</f>
        <v>0</v>
      </c>
      <c r="D223" s="306">
        <f>Fluxo_de_Caixa_Janeiro3[[#This Row],[Fevereiro]]</f>
        <v>0</v>
      </c>
      <c r="E223" s="306">
        <f>Fluxo_de_Caixa_Janeiro34[[#This Row],[Março]]</f>
        <v>0</v>
      </c>
      <c r="F223" s="306">
        <f>Fluxo_de_Caixa_Janeiro345[[#This Row],[ABRIL]]</f>
        <v>0</v>
      </c>
      <c r="G223" s="306">
        <f>Fluxo_de_Caixa_Janeiro3459[[#This Row],[MAIO]]</f>
        <v>0</v>
      </c>
      <c r="H223" s="306">
        <f>Fluxo_de_Caixa_Janeiro345911[[#This Row],[JUNHO]]</f>
        <v>0</v>
      </c>
      <c r="I223" s="357">
        <f>Fluxo_de_Caixa_Janeiro3459117[[#This Row],[JULHO]]</f>
        <v>0</v>
      </c>
      <c r="J223" s="306">
        <f>Fluxo_de_Caixa_Janeiro345911710[[#This Row],[AGOSTO]]</f>
        <v>0</v>
      </c>
      <c r="K223" s="306">
        <f>Fluxo_de_Caixa_Janeiro34591171012[[#This Row],[SETEMBRO]]</f>
        <v>0</v>
      </c>
      <c r="L223" s="306">
        <f>Fluxo_de_Caixa_Janeiro3459117101215[[#This Row],[OUTUBRO]]</f>
        <v>0</v>
      </c>
      <c r="M223" s="306">
        <f>Fluxo_de_Caixa_Janeiro345911710121516[[#This Row],[NOVEMBRO]]</f>
        <v>0</v>
      </c>
      <c r="N223" s="306">
        <f>Fluxo_de_Caixa_Janeiro34591171012151619[[#This Row],[DEZEMBRO]]</f>
        <v>0</v>
      </c>
      <c r="O223" s="223">
        <f>SUM(Fluxo_de_Caixa_Janeiro31020818[[#This Row],[Janeiro]:[Dezembro]])</f>
        <v>0</v>
      </c>
      <c r="P223" s="193">
        <f t="shared" si="13"/>
        <v>0</v>
      </c>
      <c r="Q223" s="193"/>
      <c r="R223" s="32" t="str">
        <f>IF(Fluxo_de_Caixa_Janeiro31020818[[#This Row],[% ACUMULADO  ANO 2026]]&lt;=Fluxo_de_Caixa_Janeiro31020818[[#This Row],[Coluna1]],"VERDADEIRO","FALSO")</f>
        <v>VERDADEIRO</v>
      </c>
    </row>
    <row r="224" spans="2:18" x14ac:dyDescent="0.25">
      <c r="B224" s="378" t="str">
        <f>Fluxo_de_Caixa_Janeiro[[#This Row],[Fluxo de Caixa 2026 CTR]]</f>
        <v>3.8.12.MULTA S/ INFRACOES FISCAIS</v>
      </c>
      <c r="C224" s="357">
        <f>Fluxo_de_Caixa_Janeiro[[#This Row],[Janeiro]]</f>
        <v>0</v>
      </c>
      <c r="D224" s="306">
        <f>Fluxo_de_Caixa_Janeiro3[[#This Row],[Fevereiro]]</f>
        <v>0</v>
      </c>
      <c r="E224" s="306">
        <f>Fluxo_de_Caixa_Janeiro34[[#This Row],[Março]]</f>
        <v>0</v>
      </c>
      <c r="F224" s="306">
        <f>Fluxo_de_Caixa_Janeiro345[[#This Row],[ABRIL]]</f>
        <v>0</v>
      </c>
      <c r="G224" s="306">
        <f>Fluxo_de_Caixa_Janeiro3459[[#This Row],[MAIO]]</f>
        <v>0</v>
      </c>
      <c r="H224" s="306">
        <f>Fluxo_de_Caixa_Janeiro345911[[#This Row],[JUNHO]]</f>
        <v>0</v>
      </c>
      <c r="I224" s="357">
        <f>Fluxo_de_Caixa_Janeiro3459117[[#This Row],[JULHO]]</f>
        <v>0</v>
      </c>
      <c r="J224" s="306">
        <f>Fluxo_de_Caixa_Janeiro345911710[[#This Row],[AGOSTO]]</f>
        <v>0</v>
      </c>
      <c r="K224" s="306">
        <f>Fluxo_de_Caixa_Janeiro34591171012[[#This Row],[SETEMBRO]]</f>
        <v>0</v>
      </c>
      <c r="L224" s="306">
        <f>Fluxo_de_Caixa_Janeiro3459117101215[[#This Row],[OUTUBRO]]</f>
        <v>0</v>
      </c>
      <c r="M224" s="306">
        <f>Fluxo_de_Caixa_Janeiro345911710121516[[#This Row],[NOVEMBRO]]</f>
        <v>0</v>
      </c>
      <c r="N224" s="306">
        <f>Fluxo_de_Caixa_Janeiro34591171012151619[[#This Row],[DEZEMBRO]]</f>
        <v>0</v>
      </c>
      <c r="O224" s="223">
        <f>SUM(Fluxo_de_Caixa_Janeiro31020818[[#This Row],[Janeiro]:[Dezembro]])</f>
        <v>0</v>
      </c>
      <c r="P224" s="193">
        <f t="shared" si="13"/>
        <v>0</v>
      </c>
      <c r="Q224" s="193"/>
      <c r="R224" s="32" t="str">
        <f>IF(Fluxo_de_Caixa_Janeiro31020818[[#This Row],[% ACUMULADO  ANO 2026]]&lt;=Fluxo_de_Caixa_Janeiro31020818[[#This Row],[Coluna1]],"VERDADEIRO","FALSO")</f>
        <v>VERDADEIRO</v>
      </c>
    </row>
    <row r="225" spans="2:26" x14ac:dyDescent="0.25">
      <c r="B225" s="378" t="str">
        <f>Fluxo_de_Caixa_Janeiro[[#This Row],[Fluxo de Caixa 2026 CTR]]</f>
        <v>3.8.13.MULTA ATRASO PAGTO TRIBUTOS</v>
      </c>
      <c r="C225" s="357">
        <f>Fluxo_de_Caixa_Janeiro[[#This Row],[Janeiro]]</f>
        <v>0</v>
      </c>
      <c r="D225" s="306">
        <f>Fluxo_de_Caixa_Janeiro3[[#This Row],[Fevereiro]]</f>
        <v>0</v>
      </c>
      <c r="E225" s="306">
        <f>Fluxo_de_Caixa_Janeiro34[[#This Row],[Março]]</f>
        <v>0</v>
      </c>
      <c r="F225" s="306">
        <f>Fluxo_de_Caixa_Janeiro345[[#This Row],[ABRIL]]</f>
        <v>0</v>
      </c>
      <c r="G225" s="306">
        <f>Fluxo_de_Caixa_Janeiro3459[[#This Row],[MAIO]]</f>
        <v>0</v>
      </c>
      <c r="H225" s="306">
        <f>Fluxo_de_Caixa_Janeiro345911[[#This Row],[JUNHO]]</f>
        <v>0</v>
      </c>
      <c r="I225" s="357">
        <f>Fluxo_de_Caixa_Janeiro3459117[[#This Row],[JULHO]]</f>
        <v>0</v>
      </c>
      <c r="J225" s="306">
        <f>Fluxo_de_Caixa_Janeiro345911710[[#This Row],[AGOSTO]]</f>
        <v>0</v>
      </c>
      <c r="K225" s="306">
        <f>Fluxo_de_Caixa_Janeiro34591171012[[#This Row],[SETEMBRO]]</f>
        <v>0</v>
      </c>
      <c r="L225" s="306">
        <f>Fluxo_de_Caixa_Janeiro3459117101215[[#This Row],[OUTUBRO]]</f>
        <v>0</v>
      </c>
      <c r="M225" s="306">
        <f>Fluxo_de_Caixa_Janeiro345911710121516[[#This Row],[NOVEMBRO]]</f>
        <v>0</v>
      </c>
      <c r="N225" s="306">
        <f>Fluxo_de_Caixa_Janeiro34591171012151619[[#This Row],[DEZEMBRO]]</f>
        <v>0</v>
      </c>
      <c r="O225" s="223">
        <f>SUM(Fluxo_de_Caixa_Janeiro31020818[[#This Row],[Janeiro]:[Dezembro]])</f>
        <v>0</v>
      </c>
      <c r="P225" s="193">
        <f t="shared" si="13"/>
        <v>0</v>
      </c>
      <c r="Q225" s="193"/>
      <c r="R225" s="32" t="str">
        <f>IF(Fluxo_de_Caixa_Janeiro31020818[[#This Row],[% ACUMULADO  ANO 2026]]&lt;=Fluxo_de_Caixa_Janeiro31020818[[#This Row],[Coluna1]],"VERDADEIRO","FALSO")</f>
        <v>VERDADEIRO</v>
      </c>
    </row>
    <row r="226" spans="2:26" hidden="1" x14ac:dyDescent="0.25">
      <c r="B226" s="378">
        <f>Fluxo_de_Caixa_Janeiro[[#This Row],[Fluxo de Caixa 2026 CTR]]</f>
        <v>0</v>
      </c>
      <c r="C226" s="357">
        <f>Fluxo_de_Caixa_Janeiro[[#This Row],[Janeiro]]</f>
        <v>0</v>
      </c>
      <c r="D226" s="306">
        <f>Fluxo_de_Caixa_Janeiro3[[#This Row],[Fevereiro]]</f>
        <v>0</v>
      </c>
      <c r="E226" s="306">
        <f>Fluxo_de_Caixa_Janeiro34[[#This Row],[Março]]</f>
        <v>0</v>
      </c>
      <c r="F226" s="306">
        <f>Fluxo_de_Caixa_Janeiro345[[#This Row],[ABRIL]]</f>
        <v>0</v>
      </c>
      <c r="G226" s="306">
        <f>Fluxo_de_Caixa_Janeiro3459[[#This Row],[MAIO]]</f>
        <v>0</v>
      </c>
      <c r="H226" s="306">
        <f>Fluxo_de_Caixa_Janeiro345911[[#This Row],[JUNHO]]</f>
        <v>0</v>
      </c>
      <c r="I226" s="357">
        <f>Fluxo_de_Caixa_Janeiro3459117[[#This Row],[JULHO]]</f>
        <v>0</v>
      </c>
      <c r="J226" s="306">
        <f>Fluxo_de_Caixa_Janeiro345911710[[#This Row],[AGOSTO]]</f>
        <v>0</v>
      </c>
      <c r="K226" s="306">
        <f>Fluxo_de_Caixa_Janeiro34591171012[[#This Row],[SETEMBRO]]</f>
        <v>0</v>
      </c>
      <c r="L226" s="306">
        <f>Fluxo_de_Caixa_Janeiro3459117101215[[#This Row],[OUTUBRO]]</f>
        <v>0</v>
      </c>
      <c r="M226" s="306">
        <f>Fluxo_de_Caixa_Janeiro345911710121516[[#This Row],[NOVEMBRO]]</f>
        <v>0</v>
      </c>
      <c r="N226" s="306">
        <f>Fluxo_de_Caixa_Janeiro34591171012151619[[#This Row],[DEZEMBRO]]</f>
        <v>0</v>
      </c>
      <c r="O226" s="223">
        <f>SUM(Fluxo_de_Caixa_Janeiro31020818[[#This Row],[Janeiro]:[Dezembro]])</f>
        <v>0</v>
      </c>
      <c r="P226" s="193">
        <f t="shared" si="13"/>
        <v>0</v>
      </c>
      <c r="Q226" s="193"/>
      <c r="R226" s="32" t="str">
        <f>IF(Fluxo_de_Caixa_Janeiro31020818[[#This Row],[% ACUMULADO  ANO 2026]]&lt;=Fluxo_de_Caixa_Janeiro31020818[[#This Row],[Coluna1]],"VERDADEIRO","FALSO")</f>
        <v>VERDADEIRO</v>
      </c>
    </row>
    <row r="227" spans="2:26" hidden="1" x14ac:dyDescent="0.25">
      <c r="B227" s="378">
        <f>Fluxo_de_Caixa_Janeiro[[#This Row],[Fluxo de Caixa 2026 CTR]]</f>
        <v>0</v>
      </c>
      <c r="C227" s="357">
        <f>Fluxo_de_Caixa_Janeiro[[#This Row],[Janeiro]]</f>
        <v>0</v>
      </c>
      <c r="D227" s="306">
        <f>Fluxo_de_Caixa_Janeiro3[[#This Row],[Fevereiro]]</f>
        <v>0</v>
      </c>
      <c r="E227" s="306">
        <f>Fluxo_de_Caixa_Janeiro34[[#This Row],[Março]]</f>
        <v>0</v>
      </c>
      <c r="F227" s="306">
        <f>Fluxo_de_Caixa_Janeiro345[[#This Row],[ABRIL]]</f>
        <v>0</v>
      </c>
      <c r="G227" s="306">
        <f>Fluxo_de_Caixa_Janeiro3459[[#This Row],[MAIO]]</f>
        <v>0</v>
      </c>
      <c r="H227" s="306">
        <f>Fluxo_de_Caixa_Janeiro345911[[#This Row],[JUNHO]]</f>
        <v>0</v>
      </c>
      <c r="I227" s="357">
        <f>Fluxo_de_Caixa_Janeiro3459117[[#This Row],[JULHO]]</f>
        <v>0</v>
      </c>
      <c r="J227" s="306">
        <f>Fluxo_de_Caixa_Janeiro345911710[[#This Row],[AGOSTO]]</f>
        <v>0</v>
      </c>
      <c r="K227" s="306">
        <f>Fluxo_de_Caixa_Janeiro34591171012[[#This Row],[SETEMBRO]]</f>
        <v>0</v>
      </c>
      <c r="L227" s="306">
        <f>Fluxo_de_Caixa_Janeiro3459117101215[[#This Row],[OUTUBRO]]</f>
        <v>0</v>
      </c>
      <c r="M227" s="306">
        <f>Fluxo_de_Caixa_Janeiro345911710121516[[#This Row],[NOVEMBRO]]</f>
        <v>0</v>
      </c>
      <c r="N227" s="306">
        <f>Fluxo_de_Caixa_Janeiro34591171012151619[[#This Row],[DEZEMBRO]]</f>
        <v>0</v>
      </c>
      <c r="O227" s="223">
        <f>SUM(Fluxo_de_Caixa_Janeiro31020818[[#This Row],[Janeiro]:[Dezembro]])</f>
        <v>0</v>
      </c>
      <c r="P227" s="193">
        <f t="shared" si="13"/>
        <v>0</v>
      </c>
      <c r="Q227" s="193"/>
      <c r="R227" s="32" t="str">
        <f>IF(Fluxo_de_Caixa_Janeiro31020818[[#This Row],[% ACUMULADO  ANO 2026]]&lt;=Fluxo_de_Caixa_Janeiro31020818[[#This Row],[Coluna1]],"VERDADEIRO","FALSO")</f>
        <v>VERDADEIRO</v>
      </c>
    </row>
    <row r="228" spans="2:26" ht="15.75" thickBot="1" x14ac:dyDescent="0.3">
      <c r="B228" s="378" t="str">
        <f>Fluxo_de_Caixa_Janeiro[[#This Row],[Fluxo de Caixa 2026 CTR]]</f>
        <v>3.8.16. CRF Sobre Serviço</v>
      </c>
      <c r="C228" s="357">
        <f>Fluxo_de_Caixa_Janeiro[[#This Row],[Janeiro]]</f>
        <v>0</v>
      </c>
      <c r="D228" s="306">
        <f>Fluxo_de_Caixa_Janeiro3[[#This Row],[Fevereiro]]</f>
        <v>0</v>
      </c>
      <c r="E228" s="306">
        <f>Fluxo_de_Caixa_Janeiro34[[#This Row],[Março]]</f>
        <v>0</v>
      </c>
      <c r="F228" s="306">
        <f>Fluxo_de_Caixa_Janeiro345[[#This Row],[ABRIL]]</f>
        <v>0</v>
      </c>
      <c r="G228" s="306">
        <f>Fluxo_de_Caixa_Janeiro3459[[#This Row],[MAIO]]</f>
        <v>0</v>
      </c>
      <c r="H228" s="306">
        <f>Fluxo_de_Caixa_Janeiro345911[[#This Row],[JUNHO]]</f>
        <v>0</v>
      </c>
      <c r="I228" s="357">
        <f>Fluxo_de_Caixa_Janeiro3459117[[#This Row],[JULHO]]</f>
        <v>0</v>
      </c>
      <c r="J228" s="306">
        <f>Fluxo_de_Caixa_Janeiro345911710[[#This Row],[AGOSTO]]</f>
        <v>0</v>
      </c>
      <c r="K228" s="306">
        <f>Fluxo_de_Caixa_Janeiro34591171012[[#This Row],[SETEMBRO]]</f>
        <v>0</v>
      </c>
      <c r="L228" s="306">
        <f>Fluxo_de_Caixa_Janeiro3459117101215[[#This Row],[OUTUBRO]]</f>
        <v>0</v>
      </c>
      <c r="M228" s="306">
        <f>Fluxo_de_Caixa_Janeiro345911710121516[[#This Row],[NOVEMBRO]]</f>
        <v>0</v>
      </c>
      <c r="N228" s="306">
        <f>Fluxo_de_Caixa_Janeiro34591171012151619[[#This Row],[DEZEMBRO]]</f>
        <v>0</v>
      </c>
      <c r="O228" s="223">
        <f>SUM(Fluxo_de_Caixa_Janeiro31020818[[#This Row],[Janeiro]:[Dezembro]])</f>
        <v>0</v>
      </c>
      <c r="P228" s="193">
        <f t="shared" si="13"/>
        <v>0</v>
      </c>
      <c r="Q228" s="193"/>
      <c r="R228" s="32" t="str">
        <f>IF(Fluxo_de_Caixa_Janeiro31020818[[#This Row],[% ACUMULADO  ANO 2026]]&lt;=Fluxo_de_Caixa_Janeiro31020818[[#This Row],[Coluna1]],"VERDADEIRO","FALSO")</f>
        <v>VERDADEIRO</v>
      </c>
    </row>
    <row r="229" spans="2:26" hidden="1" x14ac:dyDescent="0.25">
      <c r="B229" s="378">
        <f>Fluxo_de_Caixa_Janeiro[[#This Row],[Fluxo de Caixa 2026 CTR]]</f>
        <v>0</v>
      </c>
      <c r="C229" s="357">
        <f>Fluxo_de_Caixa_Janeiro[[#This Row],[Janeiro]]</f>
        <v>0</v>
      </c>
      <c r="D229" s="306">
        <f>Fluxo_de_Caixa_Janeiro3[[#This Row],[Fevereiro]]</f>
        <v>0</v>
      </c>
      <c r="E229" s="306">
        <f>Fluxo_de_Caixa_Janeiro34[[#This Row],[Março]]</f>
        <v>0</v>
      </c>
      <c r="F229" s="306">
        <f>Fluxo_de_Caixa_Janeiro345[[#This Row],[ABRIL]]</f>
        <v>0</v>
      </c>
      <c r="G229" s="306">
        <f>Fluxo_de_Caixa_Janeiro3459[[#This Row],[MAIO]]</f>
        <v>0</v>
      </c>
      <c r="H229" s="306">
        <f>Fluxo_de_Caixa_Janeiro345911[[#This Row],[JUNHO]]</f>
        <v>0</v>
      </c>
      <c r="I229" s="357">
        <f>Fluxo_de_Caixa_Janeiro3459117[[#This Row],[JULHO]]</f>
        <v>0</v>
      </c>
      <c r="J229" s="306">
        <f>Fluxo_de_Caixa_Janeiro345911710[[#This Row],[AGOSTO]]</f>
        <v>0</v>
      </c>
      <c r="K229" s="306">
        <f>Fluxo_de_Caixa_Janeiro34591171012[[#This Row],[SETEMBRO]]</f>
        <v>0</v>
      </c>
      <c r="L229" s="306">
        <f>Fluxo_de_Caixa_Janeiro3459117101215[[#This Row],[OUTUBRO]]</f>
        <v>0</v>
      </c>
      <c r="M229" s="306">
        <f>Fluxo_de_Caixa_Janeiro345911710121516[[#This Row],[NOVEMBRO]]</f>
        <v>0</v>
      </c>
      <c r="N229" s="306">
        <f>Fluxo_de_Caixa_Janeiro34591171012151619[[#This Row],[DEZEMBRO]]</f>
        <v>0</v>
      </c>
      <c r="O229" s="396">
        <f>SUM(Fluxo_de_Caixa_Janeiro31020818[[#This Row],[Janeiro]:[Dezembro]])</f>
        <v>0</v>
      </c>
      <c r="P229" s="398"/>
      <c r="Q229" s="398"/>
      <c r="R229" s="32" t="str">
        <f>IF(Fluxo_de_Caixa_Janeiro31020818[[#This Row],[% ACUMULADO  ANO 2026]]&lt;=Fluxo_de_Caixa_Janeiro31020818[[#This Row],[Coluna1]],"VERDADEIRO","FALSO")</f>
        <v>VERDADEIRO</v>
      </c>
    </row>
    <row r="230" spans="2:26" ht="15.75" hidden="1" thickBot="1" x14ac:dyDescent="0.3">
      <c r="B230" s="389">
        <f>Fluxo_de_Caixa_Janeiro[[#This Row],[Fluxo de Caixa 2026 CTR]]</f>
        <v>0</v>
      </c>
      <c r="C230" s="366">
        <f>Fluxo_de_Caixa_Janeiro[[#This Row],[Janeiro]]</f>
        <v>0</v>
      </c>
      <c r="D230" s="367">
        <f>Fluxo_de_Caixa_Janeiro3[[#This Row],[Fevereiro]]</f>
        <v>0</v>
      </c>
      <c r="E230" s="367">
        <f>Fluxo_de_Caixa_Janeiro34[[#This Row],[Março]]</f>
        <v>0</v>
      </c>
      <c r="F230" s="367">
        <f>Fluxo_de_Caixa_Janeiro345[[#This Row],[ABRIL]]</f>
        <v>0</v>
      </c>
      <c r="G230" s="367">
        <f>Fluxo_de_Caixa_Janeiro3459[[#This Row],[MAIO]]</f>
        <v>0</v>
      </c>
      <c r="H230" s="367">
        <f>Fluxo_de_Caixa_Janeiro345911[[#This Row],[JUNHO]]</f>
        <v>0</v>
      </c>
      <c r="I230" s="366">
        <f>Fluxo_de_Caixa_Janeiro3459117[[#This Row],[JULHO]]</f>
        <v>0</v>
      </c>
      <c r="J230" s="367">
        <f>Fluxo_de_Caixa_Janeiro345911710[[#This Row],[AGOSTO]]</f>
        <v>0</v>
      </c>
      <c r="K230" s="367">
        <f>Fluxo_de_Caixa_Janeiro34591171012[[#This Row],[SETEMBRO]]</f>
        <v>0</v>
      </c>
      <c r="L230" s="367">
        <f>Fluxo_de_Caixa_Janeiro3459117101215[[#This Row],[OUTUBRO]]</f>
        <v>0</v>
      </c>
      <c r="M230" s="367">
        <f>Fluxo_de_Caixa_Janeiro345911710121516[[#This Row],[NOVEMBRO]]</f>
        <v>0</v>
      </c>
      <c r="N230" s="368">
        <f>Fluxo_de_Caixa_Janeiro34591171012151619[[#This Row],[DEZEMBRO]]</f>
        <v>0</v>
      </c>
      <c r="O230" s="400">
        <f>SUM(Fluxo_de_Caixa_Janeiro31020818[[#This Row],[Janeiro]:[Dezembro]])</f>
        <v>0</v>
      </c>
      <c r="P230" s="401"/>
      <c r="Q230" s="401"/>
      <c r="R230" s="32" t="str">
        <f>IF(Fluxo_de_Caixa_Janeiro31020818[[#This Row],[% ACUMULADO  ANO 2026]]&lt;=Fluxo_de_Caixa_Janeiro31020818[[#This Row],[Coluna1]],"VERDADEIRO","FALSO")</f>
        <v>VERDADEIRO</v>
      </c>
    </row>
    <row r="231" spans="2:26" ht="19.5" thickBot="1" x14ac:dyDescent="0.35">
      <c r="B231" s="277" t="str">
        <f>Fluxo_de_Caixa_Janeiro[[#This Row],[Fluxo de Caixa 2026 CTR]]</f>
        <v>3.9. PATROCINIO / BONIFICAÇÃO</v>
      </c>
      <c r="C231" s="158">
        <f>Fluxo_de_Caixa_Janeiro[[#This Row],[Janeiro]]</f>
        <v>-219.15</v>
      </c>
      <c r="D231" s="97">
        <f>Fluxo_de_Caixa_Janeiro3[[#This Row],[Fevereiro]]</f>
        <v>0</v>
      </c>
      <c r="E231" s="97">
        <f>Fluxo_de_Caixa_Janeiro34[[#This Row],[Março]]</f>
        <v>0</v>
      </c>
      <c r="F231" s="97">
        <f>Fluxo_de_Caixa_Janeiro345[[#This Row],[ABRIL]]</f>
        <v>-300</v>
      </c>
      <c r="G231" s="97">
        <f>Fluxo_de_Caixa_Janeiro3459[[#This Row],[MAIO]]</f>
        <v>0</v>
      </c>
      <c r="H231" s="97">
        <f>Fluxo_de_Caixa_Janeiro345911[[#This Row],[JUNHO]]</f>
        <v>0</v>
      </c>
      <c r="I231" s="158">
        <f>Fluxo_de_Caixa_Janeiro3459117[[#This Row],[JULHO]]</f>
        <v>0</v>
      </c>
      <c r="J231" s="97">
        <f>Fluxo_de_Caixa_Janeiro345911710[[#This Row],[AGOSTO]]</f>
        <v>0</v>
      </c>
      <c r="K231" s="97">
        <f>Fluxo_de_Caixa_Janeiro34591171012[[#This Row],[SETEMBRO]]</f>
        <v>0</v>
      </c>
      <c r="L231" s="97">
        <f>Fluxo_de_Caixa_Janeiro3459117101215[[#This Row],[OUTUBRO]]</f>
        <v>0</v>
      </c>
      <c r="M231" s="97">
        <f>Fluxo_de_Caixa_Janeiro345911710121516[[#This Row],[NOVEMBRO]]</f>
        <v>0</v>
      </c>
      <c r="N231" s="129">
        <f>Fluxo_de_Caixa_Janeiro34591171012151619[[#This Row],[DEZEMBRO]]</f>
        <v>0</v>
      </c>
      <c r="O231" s="226">
        <f>SUM(Fluxo_de_Caixa_Janeiro31020818[[#This Row],[Janeiro]:[Dezembro]])</f>
        <v>-519.15</v>
      </c>
      <c r="P231" s="144">
        <f>-IFERROR(C231/$C$27,"0,00")</f>
        <v>2.9234308049941191E-4</v>
      </c>
      <c r="Q231" s="144"/>
      <c r="R231" s="32" t="str">
        <f>IF(Fluxo_de_Caixa_Janeiro31020818[[#This Row],[% ACUMULADO  ANO 2026]]&lt;=Fluxo_de_Caixa_Janeiro31020818[[#This Row],[Coluna1]],"VERDADEIRO","FALSO")</f>
        <v>FALSO</v>
      </c>
    </row>
    <row r="232" spans="2:26" x14ac:dyDescent="0.25">
      <c r="B232" s="378" t="str">
        <f>Fluxo_de_Caixa_Janeiro[[#This Row],[Fluxo de Caixa 2026 CTR]]</f>
        <v>3.9.01.PATROCÍNIO  EM DINHEIRO</v>
      </c>
      <c r="C232" s="366">
        <f>Fluxo_de_Caixa_Janeiro[[#This Row],[Janeiro]]</f>
        <v>0</v>
      </c>
      <c r="D232" s="367">
        <f>Fluxo_de_Caixa_Janeiro3[[#This Row],[Fevereiro]]</f>
        <v>0</v>
      </c>
      <c r="E232" s="367">
        <f>Fluxo_de_Caixa_Janeiro34[[#This Row],[Março]]</f>
        <v>0</v>
      </c>
      <c r="F232" s="367">
        <f>Fluxo_de_Caixa_Janeiro345[[#This Row],[ABRIL]]</f>
        <v>300</v>
      </c>
      <c r="G232" s="367">
        <f>Fluxo_de_Caixa_Janeiro3459[[#This Row],[MAIO]]</f>
        <v>0</v>
      </c>
      <c r="H232" s="367">
        <f>Fluxo_de_Caixa_Janeiro345911[[#This Row],[JUNHO]]</f>
        <v>0</v>
      </c>
      <c r="I232" s="366">
        <f>Fluxo_de_Caixa_Janeiro3459117[[#This Row],[JULHO]]</f>
        <v>0</v>
      </c>
      <c r="J232" s="367">
        <f>Fluxo_de_Caixa_Janeiro345911710[[#This Row],[AGOSTO]]</f>
        <v>0</v>
      </c>
      <c r="K232" s="367">
        <f>Fluxo_de_Caixa_Janeiro34591171012[[#This Row],[SETEMBRO]]</f>
        <v>0</v>
      </c>
      <c r="L232" s="367">
        <f>Fluxo_de_Caixa_Janeiro3459117101215[[#This Row],[OUTUBRO]]</f>
        <v>0</v>
      </c>
      <c r="M232" s="367">
        <f>Fluxo_de_Caixa_Janeiro345911710121516[[#This Row],[NOVEMBRO]]</f>
        <v>0</v>
      </c>
      <c r="N232" s="368">
        <f>Fluxo_de_Caixa_Janeiro34591171012151619[[#This Row],[DEZEMBRO]]</f>
        <v>0</v>
      </c>
      <c r="O232" s="224">
        <f>SUM(Fluxo_de_Caixa_Janeiro31020818[[#This Row],[Janeiro]:[Dezembro]])</f>
        <v>300</v>
      </c>
      <c r="P232" s="194">
        <f>IFERROR(O232/$O$27,"0,00%")</f>
        <v>6.4732678915007278E-5</v>
      </c>
      <c r="Q232" s="194"/>
      <c r="R232" s="32" t="str">
        <f>IF(Fluxo_de_Caixa_Janeiro31020818[[#This Row],[% ACUMULADO  ANO 2026]]&lt;=Fluxo_de_Caixa_Janeiro31020818[[#This Row],[Coluna1]],"VERDADEIRO","FALSO")</f>
        <v>FALSO</v>
      </c>
    </row>
    <row r="233" spans="2:26" ht="15.75" thickBot="1" x14ac:dyDescent="0.3">
      <c r="B233" s="55" t="str">
        <f>Fluxo_de_Caixa_Janeiro[[#This Row],[Fluxo de Caixa 2026 CTR]]</f>
        <v>3.9.02.BONIFICAÇÃO EM PRODUTOS</v>
      </c>
      <c r="C233" s="35">
        <f>Fluxo_de_Caixa_Janeiro[[#This Row],[Janeiro]]</f>
        <v>219.15</v>
      </c>
      <c r="D233" s="62">
        <f>Fluxo_de_Caixa_Janeiro3[[#This Row],[Fevereiro]]</f>
        <v>0</v>
      </c>
      <c r="E233" s="62">
        <f>Fluxo_de_Caixa_Janeiro34[[#This Row],[Março]]</f>
        <v>0</v>
      </c>
      <c r="F233" s="62">
        <f>Fluxo_de_Caixa_Janeiro345[[#This Row],[ABRIL]]</f>
        <v>0</v>
      </c>
      <c r="G233" s="62">
        <f>Fluxo_de_Caixa_Janeiro3459[[#This Row],[MAIO]]</f>
        <v>0</v>
      </c>
      <c r="H233" s="62">
        <f>Fluxo_de_Caixa_Janeiro345911[[#This Row],[JUNHO]]</f>
        <v>0</v>
      </c>
      <c r="I233" s="35">
        <f>Fluxo_de_Caixa_Janeiro3459117[[#This Row],[JULHO]]</f>
        <v>0</v>
      </c>
      <c r="J233" s="62">
        <f>Fluxo_de_Caixa_Janeiro345911710[[#This Row],[AGOSTO]]</f>
        <v>0</v>
      </c>
      <c r="K233" s="62">
        <f>Fluxo_de_Caixa_Janeiro34591171012[[#This Row],[SETEMBRO]]</f>
        <v>0</v>
      </c>
      <c r="L233" s="62">
        <f>Fluxo_de_Caixa_Janeiro3459117101215[[#This Row],[OUTUBRO]]</f>
        <v>0</v>
      </c>
      <c r="M233" s="62">
        <f>Fluxo_de_Caixa_Janeiro345911710121516[[#This Row],[NOVEMBRO]]</f>
        <v>0</v>
      </c>
      <c r="N233" s="119">
        <f>Fluxo_de_Caixa_Janeiro34591171012151619[[#This Row],[DEZEMBRO]]</f>
        <v>0</v>
      </c>
      <c r="O233" s="224">
        <f>SUM(Fluxo_de_Caixa_Janeiro31020818[[#This Row],[Janeiro]:[Dezembro]])</f>
        <v>219.15</v>
      </c>
      <c r="P233" s="194">
        <f>IFERROR(O233/$O$27,"0,00%")</f>
        <v>4.7287221947412824E-5</v>
      </c>
      <c r="Q233" s="194"/>
      <c r="R233" s="32" t="str">
        <f>IF(Fluxo_de_Caixa_Janeiro31020818[[#This Row],[% ACUMULADO  ANO 2026]]&lt;=Fluxo_de_Caixa_Janeiro31020818[[#This Row],[Coluna1]],"VERDADEIRO","FALSO")</f>
        <v>FALSO</v>
      </c>
    </row>
    <row r="234" spans="2:26" hidden="1" x14ac:dyDescent="0.25">
      <c r="B234" s="55">
        <f>Fluxo_de_Caixa_Janeiro[[#This Row],[Fluxo de Caixa 2026 CTR]]</f>
        <v>0</v>
      </c>
      <c r="C234" s="35">
        <f>Fluxo_de_Caixa_Janeiro[[#This Row],[Janeiro]]</f>
        <v>0</v>
      </c>
      <c r="D234" s="62">
        <f>Fluxo_de_Caixa_Janeiro3[[#This Row],[Fevereiro]]</f>
        <v>0</v>
      </c>
      <c r="E234" s="62">
        <f>Fluxo_de_Caixa_Janeiro34[[#This Row],[Março]]</f>
        <v>0</v>
      </c>
      <c r="F234" s="62">
        <f>Fluxo_de_Caixa_Janeiro345[[#This Row],[ABRIL]]</f>
        <v>0</v>
      </c>
      <c r="G234" s="62">
        <f>Fluxo_de_Caixa_Janeiro3459[[#This Row],[MAIO]]</f>
        <v>0</v>
      </c>
      <c r="H234" s="62">
        <f>Fluxo_de_Caixa_Janeiro345911[[#This Row],[JUNHO]]</f>
        <v>0</v>
      </c>
      <c r="I234" s="35">
        <f>Fluxo_de_Caixa_Janeiro3459117[[#This Row],[JULHO]]</f>
        <v>0</v>
      </c>
      <c r="J234" s="62">
        <f>Fluxo_de_Caixa_Janeiro345911710[[#This Row],[AGOSTO]]</f>
        <v>0</v>
      </c>
      <c r="K234" s="62">
        <f>Fluxo_de_Caixa_Janeiro34591171012[[#This Row],[SETEMBRO]]</f>
        <v>0</v>
      </c>
      <c r="L234" s="62">
        <f>Fluxo_de_Caixa_Janeiro3459117101215[[#This Row],[OUTUBRO]]</f>
        <v>0</v>
      </c>
      <c r="M234" s="62">
        <f>Fluxo_de_Caixa_Janeiro345911710121516[[#This Row],[NOVEMBRO]]</f>
        <v>0</v>
      </c>
      <c r="N234" s="119">
        <f>Fluxo_de_Caixa_Janeiro34591171012151619[[#This Row],[DEZEMBRO]]</f>
        <v>0</v>
      </c>
      <c r="O234" s="224">
        <f>SUM(Fluxo_de_Caixa_Janeiro31020818[[#This Row],[Janeiro]:[Dezembro]])</f>
        <v>0</v>
      </c>
      <c r="P234" s="194">
        <f>IFERROR(O234/$O$27,"0,00%")</f>
        <v>0</v>
      </c>
      <c r="Q234" s="194"/>
      <c r="R234" s="32" t="str">
        <f>IF(Fluxo_de_Caixa_Janeiro31020818[[#This Row],[% ACUMULADO  ANO 2026]]&lt;=Fluxo_de_Caixa_Janeiro31020818[[#This Row],[Coluna1]],"VERDADEIRO","FALSO")</f>
        <v>VERDADEIRO</v>
      </c>
    </row>
    <row r="235" spans="2:26" ht="15.75" hidden="1" thickBot="1" x14ac:dyDescent="0.3">
      <c r="B235" s="276">
        <f>Fluxo_de_Caixa_Janeiro[[#This Row],[Fluxo de Caixa 2026 CTR]]</f>
        <v>0</v>
      </c>
      <c r="C235" s="36">
        <f>Fluxo_de_Caixa_Janeiro[[#This Row],[Janeiro]]</f>
        <v>0</v>
      </c>
      <c r="D235" s="82">
        <f>Fluxo_de_Caixa_Janeiro3[[#This Row],[Fevereiro]]</f>
        <v>0</v>
      </c>
      <c r="E235" s="82">
        <f>Fluxo_de_Caixa_Janeiro34[[#This Row],[Março]]</f>
        <v>0</v>
      </c>
      <c r="F235" s="82">
        <f>Fluxo_de_Caixa_Janeiro345[[#This Row],[ABRIL]]</f>
        <v>0</v>
      </c>
      <c r="G235" s="82">
        <f>Fluxo_de_Caixa_Janeiro3459[[#This Row],[MAIO]]</f>
        <v>0</v>
      </c>
      <c r="H235" s="82">
        <f>Fluxo_de_Caixa_Janeiro345911[[#This Row],[JUNHO]]</f>
        <v>0</v>
      </c>
      <c r="I235" s="36">
        <f>Fluxo_de_Caixa_Janeiro3459117[[#This Row],[JULHO]]</f>
        <v>0</v>
      </c>
      <c r="J235" s="82">
        <f>Fluxo_de_Caixa_Janeiro345911710[[#This Row],[AGOSTO]]</f>
        <v>0</v>
      </c>
      <c r="K235" s="82">
        <f>Fluxo_de_Caixa_Janeiro34591171012[[#This Row],[SETEMBRO]]</f>
        <v>0</v>
      </c>
      <c r="L235" s="82">
        <f>Fluxo_de_Caixa_Janeiro3459117101215[[#This Row],[OUTUBRO]]</f>
        <v>0</v>
      </c>
      <c r="M235" s="82">
        <f>Fluxo_de_Caixa_Janeiro345911710121516[[#This Row],[NOVEMBRO]]</f>
        <v>0</v>
      </c>
      <c r="N235" s="120">
        <f>Fluxo_de_Caixa_Janeiro34591171012151619[[#This Row],[DEZEMBRO]]</f>
        <v>0</v>
      </c>
      <c r="O235" s="225">
        <f>SUM(Fluxo_de_Caixa_Janeiro31020818[[#This Row],[Janeiro]:[Dezembro]])</f>
        <v>0</v>
      </c>
      <c r="P235" s="195">
        <f>IFERROR(O235/$O$27,"0,00%")</f>
        <v>0</v>
      </c>
      <c r="Q235" s="195"/>
      <c r="R235" s="32" t="str">
        <f>IF(Fluxo_de_Caixa_Janeiro31020818[[#This Row],[% ACUMULADO  ANO 2026]]&lt;=Fluxo_de_Caixa_Janeiro31020818[[#This Row],[Coluna1]],"VERDADEIRO","FALSO")</f>
        <v>VERDADEIRO</v>
      </c>
    </row>
    <row r="236" spans="2:26" ht="27.6" customHeight="1" thickBot="1" x14ac:dyDescent="0.4">
      <c r="B236" s="170" t="str">
        <f>Fluxo_de_Caixa_Janeiro[[#This Row],[Fluxo de Caixa 2026 CTR]]</f>
        <v>Total das Despesas Operacionais</v>
      </c>
      <c r="C236" s="159">
        <f>Fluxo_de_Caixa_Janeiro[[#This Row],[Janeiro]]</f>
        <v>-235477.94999999998</v>
      </c>
      <c r="D236" s="100">
        <f>Fluxo_de_Caixa_Janeiro3[[#This Row],[Fevereiro]]</f>
        <v>-271282.99000000005</v>
      </c>
      <c r="E236" s="100">
        <f>Fluxo_de_Caixa_Janeiro34[[#This Row],[Março]]</f>
        <v>-310909.96999999997</v>
      </c>
      <c r="F236" s="100">
        <f>Fluxo_de_Caixa_Janeiro345[[#This Row],[ABRIL]]</f>
        <v>-228159.09000000003</v>
      </c>
      <c r="G236" s="100">
        <f>Fluxo_de_Caixa_Janeiro3459[[#This Row],[MAIO]]</f>
        <v>-214796.86000000004</v>
      </c>
      <c r="H236" s="100">
        <f>Fluxo_de_Caixa_Janeiro345911[[#This Row],[JUNHO]]</f>
        <v>0</v>
      </c>
      <c r="I236" s="159">
        <f>Fluxo_de_Caixa_Janeiro3459117[[#This Row],[JULHO]]</f>
        <v>0</v>
      </c>
      <c r="J236" s="100">
        <f>Fluxo_de_Caixa_Janeiro345911710[[#This Row],[AGOSTO]]</f>
        <v>0</v>
      </c>
      <c r="K236" s="100">
        <f>Fluxo_de_Caixa_Janeiro34591171012[[#This Row],[SETEMBRO]]</f>
        <v>0</v>
      </c>
      <c r="L236" s="100">
        <f>Fluxo_de_Caixa_Janeiro3459117101215[[#This Row],[OUTUBRO]]</f>
        <v>0</v>
      </c>
      <c r="M236" s="100">
        <f>Fluxo_de_Caixa_Janeiro345911710121516[[#This Row],[NOVEMBRO]]</f>
        <v>0</v>
      </c>
      <c r="N236" s="130">
        <f>Fluxo_de_Caixa_Janeiro34591171012151619[[#This Row],[DEZEMBRO]]</f>
        <v>0</v>
      </c>
      <c r="O236" s="227">
        <f>SUM(Fluxo_de_Caixa_Janeiro31020818[[#This Row],[Janeiro]:[Dezembro]])</f>
        <v>-1260626.8600000001</v>
      </c>
      <c r="P236" s="196">
        <f>IFERROR(O236/O27,"0,00%")</f>
        <v>-0.27201251253337949</v>
      </c>
      <c r="Q236" s="196"/>
      <c r="R236" s="32" t="str">
        <f>IF(Fluxo_de_Caixa_Janeiro31020818[[#This Row],[% ACUMULADO  ANO 2026]]&gt;=Fluxo_de_Caixa_Janeiro31020818[[#This Row],[Coluna1]],"VERDADEIRO","FALSO")</f>
        <v>FALSO</v>
      </c>
      <c r="S236" s="287"/>
    </row>
    <row r="237" spans="2:26" ht="27" thickBot="1" x14ac:dyDescent="0.45">
      <c r="B237" s="171" t="str">
        <f>Fluxo_de_Caixa_Janeiro[[#This Row],[Fluxo de Caixa 2026 CTR]]</f>
        <v>Saldo Operacional Liquido</v>
      </c>
      <c r="C237" s="160">
        <f>Fluxo_de_Caixa_Janeiro[[#This Row],[Janeiro]]</f>
        <v>-4474.2400000000198</v>
      </c>
      <c r="D237" s="102">
        <f>Fluxo_de_Caixa_Janeiro3[[#This Row],[Fevereiro]]</f>
        <v>113533.4599999999</v>
      </c>
      <c r="E237" s="102">
        <f>Fluxo_de_Caixa_Janeiro34[[#This Row],[Março]]</f>
        <v>246789.71999999997</v>
      </c>
      <c r="F237" s="102">
        <f>Fluxo_de_Caixa_Janeiro345[[#This Row],[ABRIL]]</f>
        <v>336819.23000000004</v>
      </c>
      <c r="G237" s="102">
        <f>Fluxo_de_Caixa_Janeiro3459[[#This Row],[MAIO]]</f>
        <v>274881.09999999992</v>
      </c>
      <c r="H237" s="102">
        <f>Fluxo_de_Caixa_Janeiro345911[[#This Row],[JUNHO]]</f>
        <v>0</v>
      </c>
      <c r="I237" s="160">
        <f>Fluxo_de_Caixa_Janeiro3459117[[#This Row],[JULHO]]</f>
        <v>0</v>
      </c>
      <c r="J237" s="102">
        <f>Fluxo_de_Caixa_Janeiro345911710[[#This Row],[AGOSTO]]</f>
        <v>0</v>
      </c>
      <c r="K237" s="102">
        <f>Fluxo_de_Caixa_Janeiro34591171012[[#This Row],[SETEMBRO]]</f>
        <v>0</v>
      </c>
      <c r="L237" s="102">
        <f>Fluxo_de_Caixa_Janeiro3459117101215[[#This Row],[OUTUBRO]]</f>
        <v>0</v>
      </c>
      <c r="M237" s="102">
        <f>Fluxo_de_Caixa_Janeiro345911710121516[[#This Row],[NOVEMBRO]]</f>
        <v>0</v>
      </c>
      <c r="N237" s="131">
        <f>Fluxo_de_Caixa_Janeiro34591171012151619[[#This Row],[DEZEMBRO]]</f>
        <v>0</v>
      </c>
      <c r="O237" s="228">
        <f>SUM(Fluxo_de_Caixa_Janeiro31020818[[#This Row],[Janeiro]:[Dezembro]])</f>
        <v>967549.26999999979</v>
      </c>
      <c r="P237" s="197">
        <f>IFERROR(O237/O27,"0,00%")</f>
        <v>0.20877352076453226</v>
      </c>
      <c r="Q237" s="197"/>
      <c r="R237" s="32" t="str">
        <f>IF(Fluxo_de_Caixa_Janeiro31020818[[#This Row],[% ACUMULADO  ANO 2026]]&gt;=Fluxo_de_Caixa_Janeiro31020818[[#This Row],[Coluna1]],"VERDADEIRO","FALSO")</f>
        <v>VERDADEIRO</v>
      </c>
      <c r="S237" s="1"/>
      <c r="T237" s="1"/>
      <c r="U237" s="1"/>
      <c r="V237" s="1"/>
      <c r="W237" s="1"/>
      <c r="X237" s="1"/>
      <c r="Y237" s="1"/>
      <c r="Z237" s="1"/>
    </row>
    <row r="238" spans="2:26" s="1" customFormat="1" ht="24" thickBot="1" x14ac:dyDescent="0.4">
      <c r="B238" s="172" t="str">
        <f>Fluxo_de_Caixa_Janeiro[[#This Row],[Fluxo de Caixa 2026 CTR]]</f>
        <v>Receitas Não Operacionais Totais</v>
      </c>
      <c r="C238" s="161">
        <f>Fluxo_de_Caixa_Janeiro[[#This Row],[Janeiro]]</f>
        <v>1301.98</v>
      </c>
      <c r="D238" s="103">
        <f>Fluxo_de_Caixa_Janeiro3[[#This Row],[Fevereiro]]</f>
        <v>73.570000000000007</v>
      </c>
      <c r="E238" s="103">
        <f>Fluxo_de_Caixa_Janeiro34[[#This Row],[Março]]</f>
        <v>830432.22</v>
      </c>
      <c r="F238" s="103">
        <f>Fluxo_de_Caixa_Janeiro345[[#This Row],[ABRIL]]</f>
        <v>1100</v>
      </c>
      <c r="G238" s="103">
        <f>Fluxo_de_Caixa_Janeiro3459[[#This Row],[MAIO]]</f>
        <v>788.05</v>
      </c>
      <c r="H238" s="103">
        <f>Fluxo_de_Caixa_Janeiro345911[[#This Row],[JUNHO]]</f>
        <v>0</v>
      </c>
      <c r="I238" s="161">
        <f>Fluxo_de_Caixa_Janeiro3459117[[#This Row],[JULHO]]</f>
        <v>0</v>
      </c>
      <c r="J238" s="103">
        <f>Fluxo_de_Caixa_Janeiro345911710[[#This Row],[AGOSTO]]</f>
        <v>0</v>
      </c>
      <c r="K238" s="103">
        <f>Fluxo_de_Caixa_Janeiro34591171012[[#This Row],[SETEMBRO]]</f>
        <v>0</v>
      </c>
      <c r="L238" s="103">
        <f>Fluxo_de_Caixa_Janeiro3459117101215[[#This Row],[OUTUBRO]]</f>
        <v>0</v>
      </c>
      <c r="M238" s="103">
        <f>Fluxo_de_Caixa_Janeiro345911710121516[[#This Row],[NOVEMBRO]]</f>
        <v>0</v>
      </c>
      <c r="N238" s="132">
        <f>Fluxo_de_Caixa_Janeiro34591171012151619[[#This Row],[DEZEMBRO]]</f>
        <v>0</v>
      </c>
      <c r="O238" s="229">
        <f>SUM(Fluxo_de_Caixa_Janeiro31020818[[#This Row],[Janeiro]:[Dezembro]])</f>
        <v>833695.82000000007</v>
      </c>
      <c r="P238" s="145">
        <f>SUM(P239,P248,P261)</f>
        <v>0.15246423637784565</v>
      </c>
      <c r="Q238" s="145"/>
      <c r="R238" s="32" t="str">
        <f>IF(Fluxo_de_Caixa_Janeiro31020818[[#This Row],[% ACUMULADO  ANO 2026]]&gt;=Fluxo_de_Caixa_Janeiro31020818[[#This Row],[Coluna1]],"VERDADEIRO","FALSO")</f>
        <v>VERDADEIRO</v>
      </c>
    </row>
    <row r="239" spans="2:26" s="1" customFormat="1" ht="24" thickBot="1" x14ac:dyDescent="0.4">
      <c r="B239" s="57" t="str">
        <f>Fluxo_de_Caixa_Janeiro[[#This Row],[Fluxo de Caixa 2026 CTR]]</f>
        <v>4.1. Receita de Empréstimo</v>
      </c>
      <c r="C239" s="44">
        <f>Fluxo_de_Caixa_Janeiro[[#This Row],[Janeiro]]</f>
        <v>0</v>
      </c>
      <c r="D239" s="85">
        <f>Fluxo_de_Caixa_Janeiro3[[#This Row],[Fevereiro]]</f>
        <v>0</v>
      </c>
      <c r="E239" s="85">
        <f>Fluxo_de_Caixa_Janeiro34[[#This Row],[Março]]</f>
        <v>830000</v>
      </c>
      <c r="F239" s="85">
        <f>Fluxo_de_Caixa_Janeiro345[[#This Row],[ABRIL]]</f>
        <v>0</v>
      </c>
      <c r="G239" s="85">
        <f>Fluxo_de_Caixa_Janeiro3459[[#This Row],[MAIO]]</f>
        <v>0</v>
      </c>
      <c r="H239" s="85">
        <f>Fluxo_de_Caixa_Janeiro345911[[#This Row],[JUNHO]]</f>
        <v>0</v>
      </c>
      <c r="I239" s="44">
        <f>Fluxo_de_Caixa_Janeiro3459117[[#This Row],[JULHO]]</f>
        <v>0</v>
      </c>
      <c r="J239" s="85">
        <f>Fluxo_de_Caixa_Janeiro345911710[[#This Row],[AGOSTO]]</f>
        <v>0</v>
      </c>
      <c r="K239" s="85">
        <f>Fluxo_de_Caixa_Janeiro34591171012[[#This Row],[SETEMBRO]]</f>
        <v>0</v>
      </c>
      <c r="L239" s="85">
        <f>Fluxo_de_Caixa_Janeiro3459117101215[[#This Row],[OUTUBRO]]</f>
        <v>0</v>
      </c>
      <c r="M239" s="85">
        <f>Fluxo_de_Caixa_Janeiro345911710121516[[#This Row],[NOVEMBRO]]</f>
        <v>0</v>
      </c>
      <c r="N239" s="122">
        <f>Fluxo_de_Caixa_Janeiro34591171012151619[[#This Row],[DEZEMBRO]]</f>
        <v>0</v>
      </c>
      <c r="O239" s="212">
        <f>SUM(Fluxo_de_Caixa_Janeiro31020818[[#This Row],[Janeiro]:[Dezembro]])</f>
        <v>830000</v>
      </c>
      <c r="P239" s="25">
        <f t="shared" ref="P239:P271" si="14">IF(O239=0,"0,00%",O239/$O$332)</f>
        <v>0.15178835392698967</v>
      </c>
      <c r="Q239" s="25"/>
      <c r="R239" s="32" t="str">
        <f>IF(Fluxo_de_Caixa_Janeiro31020818[[#This Row],[% ACUMULADO  ANO 2026]]&gt;=Fluxo_de_Caixa_Janeiro31020818[[#This Row],[Coluna1]],"VERDADEIRO","FALSO")</f>
        <v>VERDADEIRO</v>
      </c>
    </row>
    <row r="240" spans="2:26" x14ac:dyDescent="0.25">
      <c r="B240" s="49" t="str">
        <f>Fluxo_de_Caixa_Janeiro[[#This Row],[Fluxo de Caixa 2026 CTR]]</f>
        <v>4.1.01 Bancário</v>
      </c>
      <c r="C240" s="41">
        <f>Fluxo_de_Caixa_Janeiro[[#This Row],[Janeiro]]</f>
        <v>0</v>
      </c>
      <c r="D240" s="81">
        <f>Fluxo_de_Caixa_Janeiro3[[#This Row],[Fevereiro]]</f>
        <v>0</v>
      </c>
      <c r="E240" s="81">
        <f>Fluxo_de_Caixa_Janeiro34[[#This Row],[Março]]</f>
        <v>830000</v>
      </c>
      <c r="F240" s="81">
        <f>Fluxo_de_Caixa_Janeiro345[[#This Row],[ABRIL]]</f>
        <v>0</v>
      </c>
      <c r="G240" s="81">
        <f>Fluxo_de_Caixa_Janeiro3459[[#This Row],[MAIO]]</f>
        <v>0</v>
      </c>
      <c r="H240" s="81">
        <f>Fluxo_de_Caixa_Janeiro345911[[#This Row],[JUNHO]]</f>
        <v>0</v>
      </c>
      <c r="I240" s="41">
        <f>Fluxo_de_Caixa_Janeiro3459117[[#This Row],[JULHO]]</f>
        <v>0</v>
      </c>
      <c r="J240" s="81">
        <f>Fluxo_de_Caixa_Janeiro345911710[[#This Row],[AGOSTO]]</f>
        <v>0</v>
      </c>
      <c r="K240" s="81">
        <f>Fluxo_de_Caixa_Janeiro34591171012[[#This Row],[SETEMBRO]]</f>
        <v>0</v>
      </c>
      <c r="L240" s="81">
        <f>Fluxo_de_Caixa_Janeiro3459117101215[[#This Row],[OUTUBRO]]</f>
        <v>0</v>
      </c>
      <c r="M240" s="81">
        <f>Fluxo_de_Caixa_Janeiro345911710121516[[#This Row],[NOVEMBRO]]</f>
        <v>0</v>
      </c>
      <c r="N240" s="118">
        <f>Fluxo_de_Caixa_Janeiro34591171012151619[[#This Row],[DEZEMBRO]]</f>
        <v>0</v>
      </c>
      <c r="O240" s="230">
        <f>SUM(Fluxo_de_Caixa_Janeiro31020818[[#This Row],[Janeiro]:[Dezembro]])</f>
        <v>830000</v>
      </c>
      <c r="P240" s="29">
        <f t="shared" si="14"/>
        <v>0.15178835392698967</v>
      </c>
      <c r="Q240" s="29"/>
      <c r="R240" s="32" t="str">
        <f>IF(Fluxo_de_Caixa_Janeiro31020818[[#This Row],[% ACUMULADO  ANO 2026]]&gt;=Fluxo_de_Caixa_Janeiro31020818[[#This Row],[Coluna1]],"VERDADEIRO","FALSO")</f>
        <v>VERDADEIRO</v>
      </c>
    </row>
    <row r="241" spans="2:18" x14ac:dyDescent="0.25">
      <c r="B241" s="49" t="str">
        <f>Fluxo_de_Caixa_Janeiro[[#This Row],[Fluxo de Caixa 2026 CTR]]</f>
        <v>4.1.02 Financiamento</v>
      </c>
      <c r="C241" s="35">
        <f>Fluxo_de_Caixa_Janeiro[[#This Row],[Janeiro]]</f>
        <v>0</v>
      </c>
      <c r="D241" s="62">
        <f>Fluxo_de_Caixa_Janeiro3[[#This Row],[Fevereiro]]</f>
        <v>0</v>
      </c>
      <c r="E241" s="62">
        <f>Fluxo_de_Caixa_Janeiro34[[#This Row],[Março]]</f>
        <v>0</v>
      </c>
      <c r="F241" s="62">
        <f>Fluxo_de_Caixa_Janeiro345[[#This Row],[ABRIL]]</f>
        <v>0</v>
      </c>
      <c r="G241" s="62">
        <f>Fluxo_de_Caixa_Janeiro3459[[#This Row],[MAIO]]</f>
        <v>0</v>
      </c>
      <c r="H241" s="62">
        <f>Fluxo_de_Caixa_Janeiro345911[[#This Row],[JUNHO]]</f>
        <v>0</v>
      </c>
      <c r="I241" s="35">
        <f>Fluxo_de_Caixa_Janeiro3459117[[#This Row],[JULHO]]</f>
        <v>0</v>
      </c>
      <c r="J241" s="62">
        <f>Fluxo_de_Caixa_Janeiro345911710[[#This Row],[AGOSTO]]</f>
        <v>0</v>
      </c>
      <c r="K241" s="62">
        <f>Fluxo_de_Caixa_Janeiro34591171012[[#This Row],[SETEMBRO]]</f>
        <v>0</v>
      </c>
      <c r="L241" s="62">
        <f>Fluxo_de_Caixa_Janeiro3459117101215[[#This Row],[OUTUBRO]]</f>
        <v>0</v>
      </c>
      <c r="M241" s="62">
        <f>Fluxo_de_Caixa_Janeiro345911710121516[[#This Row],[NOVEMBRO]]</f>
        <v>0</v>
      </c>
      <c r="N241" s="119">
        <f>Fluxo_de_Caixa_Janeiro34591171012151619[[#This Row],[DEZEMBRO]]</f>
        <v>0</v>
      </c>
      <c r="O241" s="231">
        <f>SUM(Fluxo_de_Caixa_Janeiro31020818[[#This Row],[Janeiro]:[Dezembro]])</f>
        <v>0</v>
      </c>
      <c r="P241" s="140" t="str">
        <f t="shared" si="14"/>
        <v>0,00%</v>
      </c>
      <c r="Q241" s="140"/>
      <c r="R241" s="32" t="str">
        <f>IF(Fluxo_de_Caixa_Janeiro31020818[[#This Row],[% ACUMULADO  ANO 2026]]&gt;=Fluxo_de_Caixa_Janeiro31020818[[#This Row],[Coluna1]],"VERDADEIRO","FALSO")</f>
        <v>VERDADEIRO</v>
      </c>
    </row>
    <row r="242" spans="2:18" x14ac:dyDescent="0.25">
      <c r="B242" s="49" t="str">
        <f>Fluxo_de_Caixa_Janeiro[[#This Row],[Fluxo de Caixa 2026 CTR]]</f>
        <v>4.1.03 Entre Lojas do Grupo</v>
      </c>
      <c r="C242" s="35">
        <f>Fluxo_de_Caixa_Janeiro[[#This Row],[Janeiro]]</f>
        <v>0</v>
      </c>
      <c r="D242" s="62">
        <f>Fluxo_de_Caixa_Janeiro3[[#This Row],[Fevereiro]]</f>
        <v>0</v>
      </c>
      <c r="E242" s="62">
        <f>Fluxo_de_Caixa_Janeiro34[[#This Row],[Março]]</f>
        <v>0</v>
      </c>
      <c r="F242" s="62">
        <f>Fluxo_de_Caixa_Janeiro345[[#This Row],[ABRIL]]</f>
        <v>0</v>
      </c>
      <c r="G242" s="62">
        <f>Fluxo_de_Caixa_Janeiro3459[[#This Row],[MAIO]]</f>
        <v>0</v>
      </c>
      <c r="H242" s="62">
        <f>Fluxo_de_Caixa_Janeiro345911[[#This Row],[JUNHO]]</f>
        <v>0</v>
      </c>
      <c r="I242" s="35">
        <f>Fluxo_de_Caixa_Janeiro3459117[[#This Row],[JULHO]]</f>
        <v>0</v>
      </c>
      <c r="J242" s="62">
        <f>Fluxo_de_Caixa_Janeiro345911710[[#This Row],[AGOSTO]]</f>
        <v>0</v>
      </c>
      <c r="K242" s="62">
        <f>Fluxo_de_Caixa_Janeiro34591171012[[#This Row],[SETEMBRO]]</f>
        <v>0</v>
      </c>
      <c r="L242" s="62">
        <f>Fluxo_de_Caixa_Janeiro3459117101215[[#This Row],[OUTUBRO]]</f>
        <v>0</v>
      </c>
      <c r="M242" s="62">
        <f>Fluxo_de_Caixa_Janeiro345911710121516[[#This Row],[NOVEMBRO]]</f>
        <v>0</v>
      </c>
      <c r="N242" s="119">
        <f>Fluxo_de_Caixa_Janeiro34591171012151619[[#This Row],[DEZEMBRO]]</f>
        <v>0</v>
      </c>
      <c r="O242" s="231">
        <f>SUM(Fluxo_de_Caixa_Janeiro31020818[[#This Row],[Janeiro]:[Dezembro]])</f>
        <v>0</v>
      </c>
      <c r="P242" s="140" t="str">
        <f t="shared" si="14"/>
        <v>0,00%</v>
      </c>
      <c r="Q242" s="140"/>
      <c r="R242" s="32" t="str">
        <f>IF(Fluxo_de_Caixa_Janeiro31020818[[#This Row],[% ACUMULADO  ANO 2026]]&gt;=Fluxo_de_Caixa_Janeiro31020818[[#This Row],[Coluna1]],"VERDADEIRO","FALSO")</f>
        <v>VERDADEIRO</v>
      </c>
    </row>
    <row r="243" spans="2:18" ht="15.75" thickBot="1" x14ac:dyDescent="0.3">
      <c r="B243" s="56" t="str">
        <f>Fluxo_de_Caixa_Janeiro[[#This Row],[Fluxo de Caixa 2026 CTR]]</f>
        <v>4.1.04 Pessoa Física</v>
      </c>
      <c r="C243" s="35">
        <f>Fluxo_de_Caixa_Janeiro[[#This Row],[Janeiro]]</f>
        <v>0</v>
      </c>
      <c r="D243" s="62">
        <f>Fluxo_de_Caixa_Janeiro3[[#This Row],[Fevereiro]]</f>
        <v>0</v>
      </c>
      <c r="E243" s="62">
        <f>Fluxo_de_Caixa_Janeiro34[[#This Row],[Março]]</f>
        <v>0</v>
      </c>
      <c r="F243" s="62">
        <f>Fluxo_de_Caixa_Janeiro345[[#This Row],[ABRIL]]</f>
        <v>0</v>
      </c>
      <c r="G243" s="62">
        <f>Fluxo_de_Caixa_Janeiro3459[[#This Row],[MAIO]]</f>
        <v>0</v>
      </c>
      <c r="H243" s="62">
        <f>Fluxo_de_Caixa_Janeiro345911[[#This Row],[JUNHO]]</f>
        <v>0</v>
      </c>
      <c r="I243" s="35">
        <f>Fluxo_de_Caixa_Janeiro3459117[[#This Row],[JULHO]]</f>
        <v>0</v>
      </c>
      <c r="J243" s="62">
        <f>Fluxo_de_Caixa_Janeiro345911710[[#This Row],[AGOSTO]]</f>
        <v>0</v>
      </c>
      <c r="K243" s="62">
        <f>Fluxo_de_Caixa_Janeiro34591171012[[#This Row],[SETEMBRO]]</f>
        <v>0</v>
      </c>
      <c r="L243" s="62">
        <f>Fluxo_de_Caixa_Janeiro3459117101215[[#This Row],[OUTUBRO]]</f>
        <v>0</v>
      </c>
      <c r="M243" s="62">
        <f>Fluxo_de_Caixa_Janeiro345911710121516[[#This Row],[NOVEMBRO]]</f>
        <v>0</v>
      </c>
      <c r="N243" s="119">
        <f>Fluxo_de_Caixa_Janeiro34591171012151619[[#This Row],[DEZEMBRO]]</f>
        <v>0</v>
      </c>
      <c r="O243" s="231">
        <f>SUM(Fluxo_de_Caixa_Janeiro31020818[[#This Row],[Janeiro]:[Dezembro]])</f>
        <v>0</v>
      </c>
      <c r="P243" s="140" t="str">
        <f t="shared" si="14"/>
        <v>0,00%</v>
      </c>
      <c r="Q243" s="140"/>
      <c r="R243" s="32" t="str">
        <f>IF(Fluxo_de_Caixa_Janeiro31020818[[#This Row],[% ACUMULADO  ANO 2026]]&gt;=Fluxo_de_Caixa_Janeiro31020818[[#This Row],[Coluna1]],"VERDADEIRO","FALSO")</f>
        <v>VERDADEIRO</v>
      </c>
    </row>
    <row r="244" spans="2:18" hidden="1" x14ac:dyDescent="0.25">
      <c r="B244" s="50">
        <f>Fluxo_de_Caixa_Janeiro[[#This Row],[Fluxo de Caixa 2026 CTR]]</f>
        <v>0</v>
      </c>
      <c r="C244" s="35">
        <f>Fluxo_de_Caixa_Janeiro[[#This Row],[Janeiro]]</f>
        <v>0</v>
      </c>
      <c r="D244" s="62">
        <f>Fluxo_de_Caixa_Janeiro3[[#This Row],[Fevereiro]]</f>
        <v>0</v>
      </c>
      <c r="E244" s="62">
        <f>Fluxo_de_Caixa_Janeiro34[[#This Row],[Março]]</f>
        <v>0</v>
      </c>
      <c r="F244" s="62">
        <f>Fluxo_de_Caixa_Janeiro345[[#This Row],[ABRIL]]</f>
        <v>0</v>
      </c>
      <c r="G244" s="62">
        <f>Fluxo_de_Caixa_Janeiro3459[[#This Row],[MAIO]]</f>
        <v>0</v>
      </c>
      <c r="H244" s="62">
        <f>Fluxo_de_Caixa_Janeiro345911[[#This Row],[JUNHO]]</f>
        <v>0</v>
      </c>
      <c r="I244" s="35">
        <f>Fluxo_de_Caixa_Janeiro3459117[[#This Row],[JULHO]]</f>
        <v>0</v>
      </c>
      <c r="J244" s="62">
        <f>Fluxo_de_Caixa_Janeiro345911710[[#This Row],[AGOSTO]]</f>
        <v>0</v>
      </c>
      <c r="K244" s="62">
        <f>Fluxo_de_Caixa_Janeiro34591171012[[#This Row],[SETEMBRO]]</f>
        <v>0</v>
      </c>
      <c r="L244" s="62">
        <f>Fluxo_de_Caixa_Janeiro3459117101215[[#This Row],[OUTUBRO]]</f>
        <v>0</v>
      </c>
      <c r="M244" s="62">
        <f>Fluxo_de_Caixa_Janeiro345911710121516[[#This Row],[NOVEMBRO]]</f>
        <v>0</v>
      </c>
      <c r="N244" s="119">
        <f>Fluxo_de_Caixa_Janeiro34591171012151619[[#This Row],[DEZEMBRO]]</f>
        <v>0</v>
      </c>
      <c r="O244" s="231">
        <f>SUM(Fluxo_de_Caixa_Janeiro31020818[[#This Row],[Janeiro]:[Dezembro]])</f>
        <v>0</v>
      </c>
      <c r="P244" s="140" t="str">
        <f t="shared" si="14"/>
        <v>0,00%</v>
      </c>
      <c r="Q244" s="140"/>
      <c r="R244" s="32" t="str">
        <f>IF(Fluxo_de_Caixa_Janeiro31020818[[#This Row],[% ACUMULADO  ANO 2026]]&gt;=Fluxo_de_Caixa_Janeiro31020818[[#This Row],[Coluna1]],"VERDADEIRO","FALSO")</f>
        <v>VERDADEIRO</v>
      </c>
    </row>
    <row r="245" spans="2:18" hidden="1" x14ac:dyDescent="0.25">
      <c r="B245" s="50">
        <f>Fluxo_de_Caixa_Janeiro[[#This Row],[Fluxo de Caixa 2026 CTR]]</f>
        <v>0</v>
      </c>
      <c r="C245" s="35">
        <f>Fluxo_de_Caixa_Janeiro[[#This Row],[Janeiro]]</f>
        <v>0</v>
      </c>
      <c r="D245" s="62">
        <f>Fluxo_de_Caixa_Janeiro3[[#This Row],[Fevereiro]]</f>
        <v>0</v>
      </c>
      <c r="E245" s="62">
        <f>Fluxo_de_Caixa_Janeiro34[[#This Row],[Março]]</f>
        <v>0</v>
      </c>
      <c r="F245" s="62">
        <f>Fluxo_de_Caixa_Janeiro345[[#This Row],[ABRIL]]</f>
        <v>0</v>
      </c>
      <c r="G245" s="62">
        <f>Fluxo_de_Caixa_Janeiro3459[[#This Row],[MAIO]]</f>
        <v>0</v>
      </c>
      <c r="H245" s="62">
        <f>Fluxo_de_Caixa_Janeiro345911[[#This Row],[JUNHO]]</f>
        <v>0</v>
      </c>
      <c r="I245" s="35">
        <f>Fluxo_de_Caixa_Janeiro3459117[[#This Row],[JULHO]]</f>
        <v>0</v>
      </c>
      <c r="J245" s="62">
        <f>Fluxo_de_Caixa_Janeiro345911710[[#This Row],[AGOSTO]]</f>
        <v>0</v>
      </c>
      <c r="K245" s="62">
        <f>Fluxo_de_Caixa_Janeiro34591171012[[#This Row],[SETEMBRO]]</f>
        <v>0</v>
      </c>
      <c r="L245" s="62">
        <f>Fluxo_de_Caixa_Janeiro3459117101215[[#This Row],[OUTUBRO]]</f>
        <v>0</v>
      </c>
      <c r="M245" s="62">
        <f>Fluxo_de_Caixa_Janeiro345911710121516[[#This Row],[NOVEMBRO]]</f>
        <v>0</v>
      </c>
      <c r="N245" s="119">
        <f>Fluxo_de_Caixa_Janeiro34591171012151619[[#This Row],[DEZEMBRO]]</f>
        <v>0</v>
      </c>
      <c r="O245" s="231">
        <f>SUM(Fluxo_de_Caixa_Janeiro31020818[[#This Row],[Janeiro]:[Dezembro]])</f>
        <v>0</v>
      </c>
      <c r="P245" s="140" t="str">
        <f t="shared" si="14"/>
        <v>0,00%</v>
      </c>
      <c r="Q245" s="140"/>
      <c r="R245" s="32" t="str">
        <f>IF(Fluxo_de_Caixa_Janeiro31020818[[#This Row],[% ACUMULADO  ANO 2026]]&gt;=Fluxo_de_Caixa_Janeiro31020818[[#This Row],[Coluna1]],"VERDADEIRO","FALSO")</f>
        <v>VERDADEIRO</v>
      </c>
    </row>
    <row r="246" spans="2:18" hidden="1" x14ac:dyDescent="0.25">
      <c r="B246" s="50">
        <f>Fluxo_de_Caixa_Janeiro[[#This Row],[Fluxo de Caixa 2026 CTR]]</f>
        <v>0</v>
      </c>
      <c r="C246" s="35">
        <f>Fluxo_de_Caixa_Janeiro[[#This Row],[Janeiro]]</f>
        <v>0</v>
      </c>
      <c r="D246" s="62">
        <f>Fluxo_de_Caixa_Janeiro3[[#This Row],[Fevereiro]]</f>
        <v>0</v>
      </c>
      <c r="E246" s="62">
        <f>Fluxo_de_Caixa_Janeiro34[[#This Row],[Março]]</f>
        <v>0</v>
      </c>
      <c r="F246" s="62">
        <f>Fluxo_de_Caixa_Janeiro345[[#This Row],[ABRIL]]</f>
        <v>0</v>
      </c>
      <c r="G246" s="62">
        <f>Fluxo_de_Caixa_Janeiro3459[[#This Row],[MAIO]]</f>
        <v>0</v>
      </c>
      <c r="H246" s="62">
        <f>Fluxo_de_Caixa_Janeiro345911[[#This Row],[JUNHO]]</f>
        <v>0</v>
      </c>
      <c r="I246" s="35">
        <f>Fluxo_de_Caixa_Janeiro3459117[[#This Row],[JULHO]]</f>
        <v>0</v>
      </c>
      <c r="J246" s="62">
        <f>Fluxo_de_Caixa_Janeiro345911710[[#This Row],[AGOSTO]]</f>
        <v>0</v>
      </c>
      <c r="K246" s="62">
        <f>Fluxo_de_Caixa_Janeiro34591171012[[#This Row],[SETEMBRO]]</f>
        <v>0</v>
      </c>
      <c r="L246" s="62">
        <f>Fluxo_de_Caixa_Janeiro3459117101215[[#This Row],[OUTUBRO]]</f>
        <v>0</v>
      </c>
      <c r="M246" s="62">
        <f>Fluxo_de_Caixa_Janeiro345911710121516[[#This Row],[NOVEMBRO]]</f>
        <v>0</v>
      </c>
      <c r="N246" s="119">
        <f>Fluxo_de_Caixa_Janeiro34591171012151619[[#This Row],[DEZEMBRO]]</f>
        <v>0</v>
      </c>
      <c r="O246" s="231">
        <f>SUM(Fluxo_de_Caixa_Janeiro31020818[[#This Row],[Janeiro]:[Dezembro]])</f>
        <v>0</v>
      </c>
      <c r="P246" s="140" t="str">
        <f t="shared" si="14"/>
        <v>0,00%</v>
      </c>
      <c r="Q246" s="140"/>
      <c r="R246" s="32" t="str">
        <f>IF(Fluxo_de_Caixa_Janeiro31020818[[#This Row],[% ACUMULADO  ANO 2026]]&gt;=Fluxo_de_Caixa_Janeiro31020818[[#This Row],[Coluna1]],"VERDADEIRO","FALSO")</f>
        <v>VERDADEIRO</v>
      </c>
    </row>
    <row r="247" spans="2:18" ht="15.75" hidden="1" thickBot="1" x14ac:dyDescent="0.3">
      <c r="B247" s="58">
        <f>Fluxo_de_Caixa_Janeiro[[#This Row],[Fluxo de Caixa 2026 CTR]]</f>
        <v>0</v>
      </c>
      <c r="C247" s="36">
        <f>Fluxo_de_Caixa_Janeiro[[#This Row],[Janeiro]]</f>
        <v>0</v>
      </c>
      <c r="D247" s="82">
        <f>Fluxo_de_Caixa_Janeiro3[[#This Row],[Fevereiro]]</f>
        <v>0</v>
      </c>
      <c r="E247" s="82">
        <f>Fluxo_de_Caixa_Janeiro34[[#This Row],[Março]]</f>
        <v>0</v>
      </c>
      <c r="F247" s="82">
        <f>Fluxo_de_Caixa_Janeiro345[[#This Row],[ABRIL]]</f>
        <v>0</v>
      </c>
      <c r="G247" s="82">
        <f>Fluxo_de_Caixa_Janeiro3459[[#This Row],[MAIO]]</f>
        <v>0</v>
      </c>
      <c r="H247" s="82">
        <f>Fluxo_de_Caixa_Janeiro345911[[#This Row],[JUNHO]]</f>
        <v>0</v>
      </c>
      <c r="I247" s="36">
        <f>Fluxo_de_Caixa_Janeiro3459117[[#This Row],[JULHO]]</f>
        <v>0</v>
      </c>
      <c r="J247" s="82">
        <f>Fluxo_de_Caixa_Janeiro345911710[[#This Row],[AGOSTO]]</f>
        <v>0</v>
      </c>
      <c r="K247" s="82">
        <f>Fluxo_de_Caixa_Janeiro34591171012[[#This Row],[SETEMBRO]]</f>
        <v>0</v>
      </c>
      <c r="L247" s="82">
        <f>Fluxo_de_Caixa_Janeiro3459117101215[[#This Row],[OUTUBRO]]</f>
        <v>0</v>
      </c>
      <c r="M247" s="82">
        <f>Fluxo_de_Caixa_Janeiro345911710121516[[#This Row],[NOVEMBRO]]</f>
        <v>0</v>
      </c>
      <c r="N247" s="120">
        <f>Fluxo_de_Caixa_Janeiro34591171012151619[[#This Row],[DEZEMBRO]]</f>
        <v>0</v>
      </c>
      <c r="O247" s="232">
        <f>SUM(Fluxo_de_Caixa_Janeiro31020818[[#This Row],[Janeiro]:[Dezembro]])</f>
        <v>0</v>
      </c>
      <c r="P247" s="141" t="str">
        <f t="shared" si="14"/>
        <v>0,00%</v>
      </c>
      <c r="Q247" s="141"/>
      <c r="R247" s="32" t="str">
        <f>IF(Fluxo_de_Caixa_Janeiro31020818[[#This Row],[% ACUMULADO  ANO 2026]]&gt;=Fluxo_de_Caixa_Janeiro31020818[[#This Row],[Coluna1]],"VERDADEIRO","FALSO")</f>
        <v>VERDADEIRO</v>
      </c>
    </row>
    <row r="248" spans="2:18" s="1" customFormat="1" ht="24" thickBot="1" x14ac:dyDescent="0.4">
      <c r="B248" s="48" t="str">
        <f>Fluxo_de_Caixa_Janeiro[[#This Row],[Fluxo de Caixa 2026 CTR]]</f>
        <v>4.2. Receita de Investimento</v>
      </c>
      <c r="C248" s="38">
        <f>Fluxo_de_Caixa_Janeiro[[#This Row],[Janeiro]]</f>
        <v>0.4</v>
      </c>
      <c r="D248" s="87">
        <f>Fluxo_de_Caixa_Janeiro3[[#This Row],[Fevereiro]]</f>
        <v>1.56</v>
      </c>
      <c r="E248" s="87">
        <f>Fluxo_de_Caixa_Janeiro34[[#This Row],[Março]]</f>
        <v>1.84</v>
      </c>
      <c r="F248" s="87">
        <f>Fluxo_de_Caixa_Janeiro345[[#This Row],[ABRIL]]</f>
        <v>550</v>
      </c>
      <c r="G248" s="87">
        <f>Fluxo_de_Caixa_Janeiro3459[[#This Row],[MAIO]]</f>
        <v>788.05</v>
      </c>
      <c r="H248" s="87">
        <f>Fluxo_de_Caixa_Janeiro345911[[#This Row],[JUNHO]]</f>
        <v>0</v>
      </c>
      <c r="I248" s="38">
        <f>Fluxo_de_Caixa_Janeiro3459117[[#This Row],[JULHO]]</f>
        <v>0</v>
      </c>
      <c r="J248" s="87">
        <f>Fluxo_de_Caixa_Janeiro345911710[[#This Row],[AGOSTO]]</f>
        <v>0</v>
      </c>
      <c r="K248" s="87">
        <f>Fluxo_de_Caixa_Janeiro34591171012[[#This Row],[SETEMBRO]]</f>
        <v>0</v>
      </c>
      <c r="L248" s="87">
        <f>Fluxo_de_Caixa_Janeiro3459117101215[[#This Row],[OUTUBRO]]</f>
        <v>0</v>
      </c>
      <c r="M248" s="87">
        <f>Fluxo_de_Caixa_Janeiro345911710121516[[#This Row],[NOVEMBRO]]</f>
        <v>0</v>
      </c>
      <c r="N248" s="125">
        <f>Fluxo_de_Caixa_Janeiro34591171012151619[[#This Row],[DEZEMBRO]]</f>
        <v>0</v>
      </c>
      <c r="O248" s="216">
        <f>SUM(Fluxo_de_Caixa_Janeiro31020818[[#This Row],[Janeiro]:[Dezembro]])</f>
        <v>1341.85</v>
      </c>
      <c r="P248" s="247">
        <f t="shared" si="14"/>
        <v>2.453942201408808E-4</v>
      </c>
      <c r="Q248" s="247"/>
      <c r="R248" s="32" t="str">
        <f>IF(Fluxo_de_Caixa_Janeiro31020818[[#This Row],[% ACUMULADO  ANO 2026]]&gt;=Fluxo_de_Caixa_Janeiro31020818[[#This Row],[Coluna1]],"VERDADEIRO","FALSO")</f>
        <v>VERDADEIRO</v>
      </c>
    </row>
    <row r="249" spans="2:18" x14ac:dyDescent="0.25">
      <c r="B249" s="49" t="str">
        <f>Fluxo_de_Caixa_Janeiro[[#This Row],[Fluxo de Caixa 2026 CTR]]</f>
        <v>4.2.01 Venda de Imóveis/terrenos</v>
      </c>
      <c r="C249" s="41">
        <f>Fluxo_de_Caixa_Janeiro[[#This Row],[Janeiro]]</f>
        <v>0</v>
      </c>
      <c r="D249" s="81">
        <f>Fluxo_de_Caixa_Janeiro3[[#This Row],[Fevereiro]]</f>
        <v>0</v>
      </c>
      <c r="E249" s="81">
        <f>Fluxo_de_Caixa_Janeiro34[[#This Row],[Março]]</f>
        <v>0</v>
      </c>
      <c r="F249" s="81">
        <f>Fluxo_de_Caixa_Janeiro345[[#This Row],[ABRIL]]</f>
        <v>0</v>
      </c>
      <c r="G249" s="81">
        <f>Fluxo_de_Caixa_Janeiro3459[[#This Row],[MAIO]]</f>
        <v>0</v>
      </c>
      <c r="H249" s="81">
        <f>Fluxo_de_Caixa_Janeiro345911[[#This Row],[JUNHO]]</f>
        <v>0</v>
      </c>
      <c r="I249" s="41">
        <f>Fluxo_de_Caixa_Janeiro3459117[[#This Row],[JULHO]]</f>
        <v>0</v>
      </c>
      <c r="J249" s="81">
        <f>Fluxo_de_Caixa_Janeiro345911710[[#This Row],[AGOSTO]]</f>
        <v>0</v>
      </c>
      <c r="K249" s="81">
        <f>Fluxo_de_Caixa_Janeiro34591171012[[#This Row],[SETEMBRO]]</f>
        <v>0</v>
      </c>
      <c r="L249" s="81">
        <f>Fluxo_de_Caixa_Janeiro3459117101215[[#This Row],[OUTUBRO]]</f>
        <v>0</v>
      </c>
      <c r="M249" s="81">
        <f>Fluxo_de_Caixa_Janeiro345911710121516[[#This Row],[NOVEMBRO]]</f>
        <v>0</v>
      </c>
      <c r="N249" s="118">
        <f>Fluxo_de_Caixa_Janeiro34591171012151619[[#This Row],[DEZEMBRO]]</f>
        <v>0</v>
      </c>
      <c r="O249" s="230">
        <f>SUM(Fluxo_de_Caixa_Janeiro31020818[[#This Row],[Janeiro]:[Dezembro]])</f>
        <v>0</v>
      </c>
      <c r="P249" s="29" t="str">
        <f t="shared" si="14"/>
        <v>0,00%</v>
      </c>
      <c r="Q249" s="29"/>
      <c r="R249" s="32" t="str">
        <f>IF(Fluxo_de_Caixa_Janeiro31020818[[#This Row],[% ACUMULADO  ANO 2026]]&gt;=Fluxo_de_Caixa_Janeiro31020818[[#This Row],[Coluna1]],"VERDADEIRO","FALSO")</f>
        <v>VERDADEIRO</v>
      </c>
    </row>
    <row r="250" spans="2:18" x14ac:dyDescent="0.25">
      <c r="B250" s="49" t="str">
        <f>Fluxo_de_Caixa_Janeiro[[#This Row],[Fluxo de Caixa 2026 CTR]]</f>
        <v xml:space="preserve">4.2.02 Venda de Veículos </v>
      </c>
      <c r="C250" s="35">
        <f>Fluxo_de_Caixa_Janeiro[[#This Row],[Janeiro]]</f>
        <v>0</v>
      </c>
      <c r="D250" s="62">
        <f>Fluxo_de_Caixa_Janeiro3[[#This Row],[Fevereiro]]</f>
        <v>0</v>
      </c>
      <c r="E250" s="62">
        <f>Fluxo_de_Caixa_Janeiro34[[#This Row],[Março]]</f>
        <v>0</v>
      </c>
      <c r="F250" s="62">
        <f>Fluxo_de_Caixa_Janeiro345[[#This Row],[ABRIL]]</f>
        <v>0</v>
      </c>
      <c r="G250" s="62">
        <f>Fluxo_de_Caixa_Janeiro3459[[#This Row],[MAIO]]</f>
        <v>0</v>
      </c>
      <c r="H250" s="62">
        <f>Fluxo_de_Caixa_Janeiro345911[[#This Row],[JUNHO]]</f>
        <v>0</v>
      </c>
      <c r="I250" s="35">
        <f>Fluxo_de_Caixa_Janeiro3459117[[#This Row],[JULHO]]</f>
        <v>0</v>
      </c>
      <c r="J250" s="62">
        <f>Fluxo_de_Caixa_Janeiro345911710[[#This Row],[AGOSTO]]</f>
        <v>0</v>
      </c>
      <c r="K250" s="62">
        <f>Fluxo_de_Caixa_Janeiro34591171012[[#This Row],[SETEMBRO]]</f>
        <v>0</v>
      </c>
      <c r="L250" s="62">
        <f>Fluxo_de_Caixa_Janeiro3459117101215[[#This Row],[OUTUBRO]]</f>
        <v>0</v>
      </c>
      <c r="M250" s="62">
        <f>Fluxo_de_Caixa_Janeiro345911710121516[[#This Row],[NOVEMBRO]]</f>
        <v>0</v>
      </c>
      <c r="N250" s="119">
        <f>Fluxo_de_Caixa_Janeiro34591171012151619[[#This Row],[DEZEMBRO]]</f>
        <v>0</v>
      </c>
      <c r="O250" s="231">
        <f>SUM(Fluxo_de_Caixa_Janeiro31020818[[#This Row],[Janeiro]:[Dezembro]])</f>
        <v>0</v>
      </c>
      <c r="P250" s="140" t="str">
        <f t="shared" si="14"/>
        <v>0,00%</v>
      </c>
      <c r="Q250" s="140"/>
      <c r="R250" s="32" t="str">
        <f>IF(Fluxo_de_Caixa_Janeiro31020818[[#This Row],[% ACUMULADO  ANO 2026]]&gt;=Fluxo_de_Caixa_Janeiro31020818[[#This Row],[Coluna1]],"VERDADEIRO","FALSO")</f>
        <v>VERDADEIRO</v>
      </c>
    </row>
    <row r="251" spans="2:18" x14ac:dyDescent="0.25">
      <c r="B251" s="49" t="str">
        <f>Fluxo_de_Caixa_Janeiro[[#This Row],[Fluxo de Caixa 2026 CTR]]</f>
        <v xml:space="preserve">4.2.03 Resgate de Titulo de Capitalização </v>
      </c>
      <c r="C251" s="35">
        <f>Fluxo_de_Caixa_Janeiro[[#This Row],[Janeiro]]</f>
        <v>0</v>
      </c>
      <c r="D251" s="62">
        <f>Fluxo_de_Caixa_Janeiro3[[#This Row],[Fevereiro]]</f>
        <v>0</v>
      </c>
      <c r="E251" s="62">
        <f>Fluxo_de_Caixa_Janeiro34[[#This Row],[Março]]</f>
        <v>0</v>
      </c>
      <c r="F251" s="62">
        <f>Fluxo_de_Caixa_Janeiro345[[#This Row],[ABRIL]]</f>
        <v>0</v>
      </c>
      <c r="G251" s="62">
        <f>Fluxo_de_Caixa_Janeiro3459[[#This Row],[MAIO]]</f>
        <v>0</v>
      </c>
      <c r="H251" s="62">
        <f>Fluxo_de_Caixa_Janeiro345911[[#This Row],[JUNHO]]</f>
        <v>0</v>
      </c>
      <c r="I251" s="35">
        <f>Fluxo_de_Caixa_Janeiro3459117[[#This Row],[JULHO]]</f>
        <v>0</v>
      </c>
      <c r="J251" s="62">
        <f>Fluxo_de_Caixa_Janeiro345911710[[#This Row],[AGOSTO]]</f>
        <v>0</v>
      </c>
      <c r="K251" s="62">
        <f>Fluxo_de_Caixa_Janeiro34591171012[[#This Row],[SETEMBRO]]</f>
        <v>0</v>
      </c>
      <c r="L251" s="62">
        <f>Fluxo_de_Caixa_Janeiro3459117101215[[#This Row],[OUTUBRO]]</f>
        <v>0</v>
      </c>
      <c r="M251" s="62">
        <f>Fluxo_de_Caixa_Janeiro345911710121516[[#This Row],[NOVEMBRO]]</f>
        <v>0</v>
      </c>
      <c r="N251" s="119">
        <f>Fluxo_de_Caixa_Janeiro34591171012151619[[#This Row],[DEZEMBRO]]</f>
        <v>0</v>
      </c>
      <c r="O251" s="231">
        <f>SUM(Fluxo_de_Caixa_Janeiro31020818[[#This Row],[Janeiro]:[Dezembro]])</f>
        <v>0</v>
      </c>
      <c r="P251" s="140" t="str">
        <f t="shared" si="14"/>
        <v>0,00%</v>
      </c>
      <c r="Q251" s="140"/>
      <c r="R251" s="32" t="str">
        <f>IF(Fluxo_de_Caixa_Janeiro31020818[[#This Row],[% ACUMULADO  ANO 2026]]&gt;=Fluxo_de_Caixa_Janeiro31020818[[#This Row],[Coluna1]],"VERDADEIRO","FALSO")</f>
        <v>VERDADEIRO</v>
      </c>
    </row>
    <row r="252" spans="2:18" x14ac:dyDescent="0.25">
      <c r="B252" s="49" t="str">
        <f>Fluxo_de_Caixa_Janeiro[[#This Row],[Fluxo de Caixa 2026 CTR]]</f>
        <v xml:space="preserve">4.2.04 Resgate de Consórcio </v>
      </c>
      <c r="C252" s="35">
        <f>Fluxo_de_Caixa_Janeiro[[#This Row],[Janeiro]]</f>
        <v>0</v>
      </c>
      <c r="D252" s="62">
        <f>Fluxo_de_Caixa_Janeiro3[[#This Row],[Fevereiro]]</f>
        <v>0</v>
      </c>
      <c r="E252" s="62">
        <f>Fluxo_de_Caixa_Janeiro34[[#This Row],[Março]]</f>
        <v>0</v>
      </c>
      <c r="F252" s="62">
        <f>Fluxo_de_Caixa_Janeiro345[[#This Row],[ABRIL]]</f>
        <v>0</v>
      </c>
      <c r="G252" s="62">
        <f>Fluxo_de_Caixa_Janeiro3459[[#This Row],[MAIO]]</f>
        <v>0</v>
      </c>
      <c r="H252" s="62">
        <f>Fluxo_de_Caixa_Janeiro345911[[#This Row],[JUNHO]]</f>
        <v>0</v>
      </c>
      <c r="I252" s="35">
        <f>Fluxo_de_Caixa_Janeiro3459117[[#This Row],[JULHO]]</f>
        <v>0</v>
      </c>
      <c r="J252" s="62">
        <f>Fluxo_de_Caixa_Janeiro345911710[[#This Row],[AGOSTO]]</f>
        <v>0</v>
      </c>
      <c r="K252" s="62">
        <f>Fluxo_de_Caixa_Janeiro34591171012[[#This Row],[SETEMBRO]]</f>
        <v>0</v>
      </c>
      <c r="L252" s="62">
        <f>Fluxo_de_Caixa_Janeiro3459117101215[[#This Row],[OUTUBRO]]</f>
        <v>0</v>
      </c>
      <c r="M252" s="62">
        <f>Fluxo_de_Caixa_Janeiro345911710121516[[#This Row],[NOVEMBRO]]</f>
        <v>0</v>
      </c>
      <c r="N252" s="119">
        <f>Fluxo_de_Caixa_Janeiro34591171012151619[[#This Row],[DEZEMBRO]]</f>
        <v>0</v>
      </c>
      <c r="O252" s="231">
        <f>SUM(Fluxo_de_Caixa_Janeiro31020818[[#This Row],[Janeiro]:[Dezembro]])</f>
        <v>0</v>
      </c>
      <c r="P252" s="140" t="str">
        <f t="shared" si="14"/>
        <v>0,00%</v>
      </c>
      <c r="Q252" s="140"/>
      <c r="R252" s="32" t="str">
        <f>IF(Fluxo_de_Caixa_Janeiro31020818[[#This Row],[% ACUMULADO  ANO 2026]]&gt;=Fluxo_de_Caixa_Janeiro31020818[[#This Row],[Coluna1]],"VERDADEIRO","FALSO")</f>
        <v>VERDADEIRO</v>
      </c>
    </row>
    <row r="253" spans="2:18" x14ac:dyDescent="0.25">
      <c r="B253" s="49" t="str">
        <f>Fluxo_de_Caixa_Janeiro[[#This Row],[Fluxo de Caixa 2026 CTR]]</f>
        <v>4.2.05 Venda de Ativo Imobilizado</v>
      </c>
      <c r="C253" s="35">
        <f>Fluxo_de_Caixa_Janeiro[[#This Row],[Janeiro]]</f>
        <v>0</v>
      </c>
      <c r="D253" s="62">
        <f>Fluxo_de_Caixa_Janeiro3[[#This Row],[Fevereiro]]</f>
        <v>0</v>
      </c>
      <c r="E253" s="62">
        <f>Fluxo_de_Caixa_Janeiro34[[#This Row],[Março]]</f>
        <v>0</v>
      </c>
      <c r="F253" s="62">
        <f>Fluxo_de_Caixa_Janeiro345[[#This Row],[ABRIL]]</f>
        <v>0</v>
      </c>
      <c r="G253" s="62">
        <f>Fluxo_de_Caixa_Janeiro3459[[#This Row],[MAIO]]</f>
        <v>0</v>
      </c>
      <c r="H253" s="62">
        <f>Fluxo_de_Caixa_Janeiro345911[[#This Row],[JUNHO]]</f>
        <v>0</v>
      </c>
      <c r="I253" s="35">
        <f>Fluxo_de_Caixa_Janeiro3459117[[#This Row],[JULHO]]</f>
        <v>0</v>
      </c>
      <c r="J253" s="62">
        <f>Fluxo_de_Caixa_Janeiro345911710[[#This Row],[AGOSTO]]</f>
        <v>0</v>
      </c>
      <c r="K253" s="62">
        <f>Fluxo_de_Caixa_Janeiro34591171012[[#This Row],[SETEMBRO]]</f>
        <v>0</v>
      </c>
      <c r="L253" s="62">
        <f>Fluxo_de_Caixa_Janeiro3459117101215[[#This Row],[OUTUBRO]]</f>
        <v>0</v>
      </c>
      <c r="M253" s="62">
        <f>Fluxo_de_Caixa_Janeiro345911710121516[[#This Row],[NOVEMBRO]]</f>
        <v>0</v>
      </c>
      <c r="N253" s="119">
        <f>Fluxo_de_Caixa_Janeiro34591171012151619[[#This Row],[DEZEMBRO]]</f>
        <v>0</v>
      </c>
      <c r="O253" s="231">
        <f>SUM(Fluxo_de_Caixa_Janeiro31020818[[#This Row],[Janeiro]:[Dezembro]])</f>
        <v>0</v>
      </c>
      <c r="P253" s="140" t="str">
        <f t="shared" si="14"/>
        <v>0,00%</v>
      </c>
      <c r="Q253" s="140"/>
      <c r="R253" s="32" t="str">
        <f>IF(Fluxo_de_Caixa_Janeiro31020818[[#This Row],[% ACUMULADO  ANO 2026]]&gt;=Fluxo_de_Caixa_Janeiro31020818[[#This Row],[Coluna1]],"VERDADEIRO","FALSO")</f>
        <v>VERDADEIRO</v>
      </c>
    </row>
    <row r="254" spans="2:18" x14ac:dyDescent="0.25">
      <c r="B254" s="49" t="str">
        <f>Fluxo_de_Caixa_Janeiro[[#This Row],[Fluxo de Caixa 2026 CTR]]</f>
        <v>4.2.06 Rendimentos CDB/Fundos/Alugueis</v>
      </c>
      <c r="C254" s="35">
        <f>Fluxo_de_Caixa_Janeiro[[#This Row],[Janeiro]]</f>
        <v>0.4</v>
      </c>
      <c r="D254" s="62">
        <f>Fluxo_de_Caixa_Janeiro3[[#This Row],[Fevereiro]]</f>
        <v>1.56</v>
      </c>
      <c r="E254" s="62">
        <f>Fluxo_de_Caixa_Janeiro34[[#This Row],[Março]]</f>
        <v>1.84</v>
      </c>
      <c r="F254" s="62">
        <f>Fluxo_de_Caixa_Janeiro345[[#This Row],[ABRIL]]</f>
        <v>550</v>
      </c>
      <c r="G254" s="62">
        <f>Fluxo_de_Caixa_Janeiro3459[[#This Row],[MAIO]]</f>
        <v>788.05</v>
      </c>
      <c r="H254" s="62">
        <f>Fluxo_de_Caixa_Janeiro345911[[#This Row],[JUNHO]]</f>
        <v>0</v>
      </c>
      <c r="I254" s="35">
        <f>Fluxo_de_Caixa_Janeiro3459117[[#This Row],[JULHO]]</f>
        <v>0</v>
      </c>
      <c r="J254" s="62">
        <f>Fluxo_de_Caixa_Janeiro345911710[[#This Row],[AGOSTO]]</f>
        <v>0</v>
      </c>
      <c r="K254" s="62">
        <f>Fluxo_de_Caixa_Janeiro34591171012[[#This Row],[SETEMBRO]]</f>
        <v>0</v>
      </c>
      <c r="L254" s="62">
        <f>Fluxo_de_Caixa_Janeiro3459117101215[[#This Row],[OUTUBRO]]</f>
        <v>0</v>
      </c>
      <c r="M254" s="62">
        <f>Fluxo_de_Caixa_Janeiro345911710121516[[#This Row],[NOVEMBRO]]</f>
        <v>0</v>
      </c>
      <c r="N254" s="119">
        <f>Fluxo_de_Caixa_Janeiro34591171012151619[[#This Row],[DEZEMBRO]]</f>
        <v>0</v>
      </c>
      <c r="O254" s="231">
        <f>SUM(Fluxo_de_Caixa_Janeiro31020818[[#This Row],[Janeiro]:[Dezembro]])</f>
        <v>1341.85</v>
      </c>
      <c r="P254" s="140">
        <f t="shared" si="14"/>
        <v>2.453942201408808E-4</v>
      </c>
      <c r="Q254" s="140"/>
      <c r="R254" s="32" t="str">
        <f>IF(Fluxo_de_Caixa_Janeiro31020818[[#This Row],[% ACUMULADO  ANO 2026]]&gt;=Fluxo_de_Caixa_Janeiro31020818[[#This Row],[Coluna1]],"VERDADEIRO","FALSO")</f>
        <v>VERDADEIRO</v>
      </c>
    </row>
    <row r="255" spans="2:18" x14ac:dyDescent="0.25">
      <c r="B255" s="49" t="str">
        <f>Fluxo_de_Caixa_Janeiro[[#This Row],[Fluxo de Caixa 2026 CTR]]</f>
        <v>4.2.07 Resgate de Capital Social</v>
      </c>
      <c r="C255" s="35">
        <f>Fluxo_de_Caixa_Janeiro[[#This Row],[Janeiro]]</f>
        <v>0</v>
      </c>
      <c r="D255" s="62">
        <f>Fluxo_de_Caixa_Janeiro3[[#This Row],[Fevereiro]]</f>
        <v>0</v>
      </c>
      <c r="E255" s="62">
        <f>Fluxo_de_Caixa_Janeiro34[[#This Row],[Março]]</f>
        <v>0</v>
      </c>
      <c r="F255" s="62">
        <f>Fluxo_de_Caixa_Janeiro345[[#This Row],[ABRIL]]</f>
        <v>0</v>
      </c>
      <c r="G255" s="62">
        <f>Fluxo_de_Caixa_Janeiro3459[[#This Row],[MAIO]]</f>
        <v>0</v>
      </c>
      <c r="H255" s="62">
        <f>Fluxo_de_Caixa_Janeiro345911[[#This Row],[JUNHO]]</f>
        <v>0</v>
      </c>
      <c r="I255" s="35">
        <f>Fluxo_de_Caixa_Janeiro3459117[[#This Row],[JULHO]]</f>
        <v>0</v>
      </c>
      <c r="J255" s="62">
        <f>Fluxo_de_Caixa_Janeiro345911710[[#This Row],[AGOSTO]]</f>
        <v>0</v>
      </c>
      <c r="K255" s="62">
        <f>Fluxo_de_Caixa_Janeiro34591171012[[#This Row],[SETEMBRO]]</f>
        <v>0</v>
      </c>
      <c r="L255" s="62">
        <f>Fluxo_de_Caixa_Janeiro3459117101215[[#This Row],[OUTUBRO]]</f>
        <v>0</v>
      </c>
      <c r="M255" s="62">
        <f>Fluxo_de_Caixa_Janeiro345911710121516[[#This Row],[NOVEMBRO]]</f>
        <v>0</v>
      </c>
      <c r="N255" s="119">
        <f>Fluxo_de_Caixa_Janeiro34591171012151619[[#This Row],[DEZEMBRO]]</f>
        <v>0</v>
      </c>
      <c r="O255" s="231">
        <f>SUM(Fluxo_de_Caixa_Janeiro31020818[[#This Row],[Janeiro]:[Dezembro]])</f>
        <v>0</v>
      </c>
      <c r="P255" s="140" t="str">
        <f t="shared" si="14"/>
        <v>0,00%</v>
      </c>
      <c r="Q255" s="140"/>
      <c r="R255" s="32" t="str">
        <f>IF(Fluxo_de_Caixa_Janeiro31020818[[#This Row],[% ACUMULADO  ANO 2026]]&gt;=Fluxo_de_Caixa_Janeiro31020818[[#This Row],[Coluna1]],"VERDADEIRO","FALSO")</f>
        <v>VERDADEIRO</v>
      </c>
    </row>
    <row r="256" spans="2:18" x14ac:dyDescent="0.25">
      <c r="B256" s="49" t="str">
        <f>Fluxo_de_Caixa_Janeiro[[#This Row],[Fluxo de Caixa 2026 CTR]]</f>
        <v xml:space="preserve">4.2.08.INVESTIMENTO EMPRESAS DO MESMO </v>
      </c>
      <c r="C256" s="35">
        <f>Fluxo_de_Caixa_Janeiro[[#This Row],[Janeiro]]</f>
        <v>0</v>
      </c>
      <c r="D256" s="62">
        <f>Fluxo_de_Caixa_Janeiro3[[#This Row],[Fevereiro]]</f>
        <v>0</v>
      </c>
      <c r="E256" s="62">
        <f>Fluxo_de_Caixa_Janeiro34[[#This Row],[Março]]</f>
        <v>0</v>
      </c>
      <c r="F256" s="62">
        <f>Fluxo_de_Caixa_Janeiro345[[#This Row],[ABRIL]]</f>
        <v>0</v>
      </c>
      <c r="G256" s="62">
        <f>Fluxo_de_Caixa_Janeiro3459[[#This Row],[MAIO]]</f>
        <v>0</v>
      </c>
      <c r="H256" s="62">
        <f>Fluxo_de_Caixa_Janeiro345911[[#This Row],[JUNHO]]</f>
        <v>0</v>
      </c>
      <c r="I256" s="35">
        <f>Fluxo_de_Caixa_Janeiro3459117[[#This Row],[JULHO]]</f>
        <v>0</v>
      </c>
      <c r="J256" s="62">
        <f>Fluxo_de_Caixa_Janeiro345911710[[#This Row],[AGOSTO]]</f>
        <v>0</v>
      </c>
      <c r="K256" s="62">
        <f>Fluxo_de_Caixa_Janeiro34591171012[[#This Row],[SETEMBRO]]</f>
        <v>0</v>
      </c>
      <c r="L256" s="62">
        <f>Fluxo_de_Caixa_Janeiro3459117101215[[#This Row],[OUTUBRO]]</f>
        <v>0</v>
      </c>
      <c r="M256" s="62">
        <f>Fluxo_de_Caixa_Janeiro345911710121516[[#This Row],[NOVEMBRO]]</f>
        <v>0</v>
      </c>
      <c r="N256" s="119">
        <f>Fluxo_de_Caixa_Janeiro34591171012151619[[#This Row],[DEZEMBRO]]</f>
        <v>0</v>
      </c>
      <c r="O256" s="231">
        <f>SUM(Fluxo_de_Caixa_Janeiro31020818[[#This Row],[Janeiro]:[Dezembro]])</f>
        <v>0</v>
      </c>
      <c r="P256" s="140" t="str">
        <f t="shared" si="14"/>
        <v>0,00%</v>
      </c>
      <c r="Q256" s="140"/>
      <c r="R256" s="32" t="str">
        <f>IF(Fluxo_de_Caixa_Janeiro31020818[[#This Row],[% ACUMULADO  ANO 2026]]&gt;=Fluxo_de_Caixa_Janeiro31020818[[#This Row],[Coluna1]],"VERDADEIRO","FALSO")</f>
        <v>VERDADEIRO</v>
      </c>
    </row>
    <row r="257" spans="2:18" ht="15.75" thickBot="1" x14ac:dyDescent="0.3">
      <c r="B257" s="49" t="str">
        <f>Fluxo_de_Caixa_Janeiro[[#This Row],[Fluxo de Caixa 2026 CTR]]</f>
        <v>4.2.09.APORTE DE CAPITAL SOCIAL</v>
      </c>
      <c r="C257" s="35">
        <f>Fluxo_de_Caixa_Janeiro[[#This Row],[Janeiro]]</f>
        <v>0</v>
      </c>
      <c r="D257" s="62">
        <f>Fluxo_de_Caixa_Janeiro3[[#This Row],[Fevereiro]]</f>
        <v>0</v>
      </c>
      <c r="E257" s="62">
        <f>Fluxo_de_Caixa_Janeiro34[[#This Row],[Março]]</f>
        <v>0</v>
      </c>
      <c r="F257" s="62">
        <f>Fluxo_de_Caixa_Janeiro345[[#This Row],[ABRIL]]</f>
        <v>0</v>
      </c>
      <c r="G257" s="62">
        <f>Fluxo_de_Caixa_Janeiro3459[[#This Row],[MAIO]]</f>
        <v>0</v>
      </c>
      <c r="H257" s="62">
        <f>Fluxo_de_Caixa_Janeiro345911[[#This Row],[JUNHO]]</f>
        <v>0</v>
      </c>
      <c r="I257" s="35">
        <f>Fluxo_de_Caixa_Janeiro3459117[[#This Row],[JULHO]]</f>
        <v>0</v>
      </c>
      <c r="J257" s="62">
        <f>Fluxo_de_Caixa_Janeiro345911710[[#This Row],[AGOSTO]]</f>
        <v>0</v>
      </c>
      <c r="K257" s="62">
        <f>Fluxo_de_Caixa_Janeiro34591171012[[#This Row],[SETEMBRO]]</f>
        <v>0</v>
      </c>
      <c r="L257" s="62">
        <f>Fluxo_de_Caixa_Janeiro3459117101215[[#This Row],[OUTUBRO]]</f>
        <v>0</v>
      </c>
      <c r="M257" s="62">
        <f>Fluxo_de_Caixa_Janeiro345911710121516[[#This Row],[NOVEMBRO]]</f>
        <v>0</v>
      </c>
      <c r="N257" s="119">
        <f>Fluxo_de_Caixa_Janeiro34591171012151619[[#This Row],[DEZEMBRO]]</f>
        <v>0</v>
      </c>
      <c r="O257" s="231">
        <f>SUM(Fluxo_de_Caixa_Janeiro31020818[[#This Row],[Janeiro]:[Dezembro]])</f>
        <v>0</v>
      </c>
      <c r="P257" s="140" t="str">
        <f t="shared" si="14"/>
        <v>0,00%</v>
      </c>
      <c r="Q257" s="140"/>
      <c r="R257" s="32" t="str">
        <f>IF(Fluxo_de_Caixa_Janeiro31020818[[#This Row],[% ACUMULADO  ANO 2026]]&gt;=Fluxo_de_Caixa_Janeiro31020818[[#This Row],[Coluna1]],"VERDADEIRO","FALSO")</f>
        <v>VERDADEIRO</v>
      </c>
    </row>
    <row r="258" spans="2:18" hidden="1" x14ac:dyDescent="0.25">
      <c r="B258" s="49">
        <f>Fluxo_de_Caixa_Janeiro[[#This Row],[Fluxo de Caixa 2026 CTR]]</f>
        <v>0</v>
      </c>
      <c r="C258" s="35">
        <f>Fluxo_de_Caixa_Janeiro[[#This Row],[Janeiro]]</f>
        <v>0</v>
      </c>
      <c r="D258" s="62">
        <f>Fluxo_de_Caixa_Janeiro3[[#This Row],[Fevereiro]]</f>
        <v>0</v>
      </c>
      <c r="E258" s="62">
        <f>Fluxo_de_Caixa_Janeiro34[[#This Row],[Março]]</f>
        <v>0</v>
      </c>
      <c r="F258" s="62">
        <f>Fluxo_de_Caixa_Janeiro345[[#This Row],[ABRIL]]</f>
        <v>0</v>
      </c>
      <c r="G258" s="62">
        <f>Fluxo_de_Caixa_Janeiro3459[[#This Row],[MAIO]]</f>
        <v>0</v>
      </c>
      <c r="H258" s="62">
        <f>Fluxo_de_Caixa_Janeiro345911[[#This Row],[JUNHO]]</f>
        <v>0</v>
      </c>
      <c r="I258" s="35">
        <f>Fluxo_de_Caixa_Janeiro3459117[[#This Row],[JULHO]]</f>
        <v>0</v>
      </c>
      <c r="J258" s="62">
        <f>Fluxo_de_Caixa_Janeiro345911710[[#This Row],[AGOSTO]]</f>
        <v>0</v>
      </c>
      <c r="K258" s="62">
        <f>Fluxo_de_Caixa_Janeiro34591171012[[#This Row],[SETEMBRO]]</f>
        <v>0</v>
      </c>
      <c r="L258" s="62">
        <f>Fluxo_de_Caixa_Janeiro3459117101215[[#This Row],[OUTUBRO]]</f>
        <v>0</v>
      </c>
      <c r="M258" s="62">
        <f>Fluxo_de_Caixa_Janeiro345911710121516[[#This Row],[NOVEMBRO]]</f>
        <v>0</v>
      </c>
      <c r="N258" s="119">
        <f>Fluxo_de_Caixa_Janeiro34591171012151619[[#This Row],[DEZEMBRO]]</f>
        <v>0</v>
      </c>
      <c r="O258" s="231">
        <f>SUM(Fluxo_de_Caixa_Janeiro31020818[[#This Row],[Janeiro]:[Dezembro]])</f>
        <v>0</v>
      </c>
      <c r="P258" s="140" t="str">
        <f t="shared" si="14"/>
        <v>0,00%</v>
      </c>
      <c r="Q258" s="140"/>
      <c r="R258" s="32" t="str">
        <f>IF(Fluxo_de_Caixa_Janeiro31020818[[#This Row],[% ACUMULADO  ANO 2026]]&gt;=Fluxo_de_Caixa_Janeiro31020818[[#This Row],[Coluna1]],"VERDADEIRO","FALSO")</f>
        <v>VERDADEIRO</v>
      </c>
    </row>
    <row r="259" spans="2:18" hidden="1" x14ac:dyDescent="0.25">
      <c r="B259" s="49">
        <f>Fluxo_de_Caixa_Janeiro[[#This Row],[Fluxo de Caixa 2026 CTR]]</f>
        <v>0</v>
      </c>
      <c r="C259" s="35">
        <f>Fluxo_de_Caixa_Janeiro[[#This Row],[Janeiro]]</f>
        <v>0</v>
      </c>
      <c r="D259" s="62">
        <f>Fluxo_de_Caixa_Janeiro3[[#This Row],[Fevereiro]]</f>
        <v>0</v>
      </c>
      <c r="E259" s="62">
        <f>Fluxo_de_Caixa_Janeiro34[[#This Row],[Março]]</f>
        <v>0</v>
      </c>
      <c r="F259" s="62">
        <f>Fluxo_de_Caixa_Janeiro345[[#This Row],[ABRIL]]</f>
        <v>0</v>
      </c>
      <c r="G259" s="62">
        <f>Fluxo_de_Caixa_Janeiro3459[[#This Row],[MAIO]]</f>
        <v>0</v>
      </c>
      <c r="H259" s="62">
        <f>Fluxo_de_Caixa_Janeiro345911[[#This Row],[JUNHO]]</f>
        <v>0</v>
      </c>
      <c r="I259" s="35">
        <f>Fluxo_de_Caixa_Janeiro3459117[[#This Row],[JULHO]]</f>
        <v>0</v>
      </c>
      <c r="J259" s="62">
        <f>Fluxo_de_Caixa_Janeiro345911710[[#This Row],[AGOSTO]]</f>
        <v>0</v>
      </c>
      <c r="K259" s="62">
        <f>Fluxo_de_Caixa_Janeiro34591171012[[#This Row],[SETEMBRO]]</f>
        <v>0</v>
      </c>
      <c r="L259" s="62">
        <f>Fluxo_de_Caixa_Janeiro3459117101215[[#This Row],[OUTUBRO]]</f>
        <v>0</v>
      </c>
      <c r="M259" s="62">
        <f>Fluxo_de_Caixa_Janeiro345911710121516[[#This Row],[NOVEMBRO]]</f>
        <v>0</v>
      </c>
      <c r="N259" s="119">
        <f>Fluxo_de_Caixa_Janeiro34591171012151619[[#This Row],[DEZEMBRO]]</f>
        <v>0</v>
      </c>
      <c r="O259" s="231">
        <f>SUM(Fluxo_de_Caixa_Janeiro31020818[[#This Row],[Janeiro]:[Dezembro]])</f>
        <v>0</v>
      </c>
      <c r="P259" s="140" t="str">
        <f t="shared" si="14"/>
        <v>0,00%</v>
      </c>
      <c r="Q259" s="140"/>
      <c r="R259" s="32" t="str">
        <f>IF(Fluxo_de_Caixa_Janeiro31020818[[#This Row],[% ACUMULADO  ANO 2026]]&gt;=Fluxo_de_Caixa_Janeiro31020818[[#This Row],[Coluna1]],"VERDADEIRO","FALSO")</f>
        <v>VERDADEIRO</v>
      </c>
    </row>
    <row r="260" spans="2:18" ht="15.75" hidden="1" thickBot="1" x14ac:dyDescent="0.3">
      <c r="B260" s="56">
        <f>Fluxo_de_Caixa_Janeiro[[#This Row],[Fluxo de Caixa 2026 CTR]]</f>
        <v>0</v>
      </c>
      <c r="C260" s="36">
        <f>Fluxo_de_Caixa_Janeiro[[#This Row],[Janeiro]]</f>
        <v>0</v>
      </c>
      <c r="D260" s="82">
        <f>Fluxo_de_Caixa_Janeiro3[[#This Row],[Fevereiro]]</f>
        <v>0</v>
      </c>
      <c r="E260" s="82">
        <f>Fluxo_de_Caixa_Janeiro34[[#This Row],[Março]]</f>
        <v>0</v>
      </c>
      <c r="F260" s="82">
        <f>Fluxo_de_Caixa_Janeiro345[[#This Row],[ABRIL]]</f>
        <v>0</v>
      </c>
      <c r="G260" s="82">
        <f>Fluxo_de_Caixa_Janeiro3459[[#This Row],[MAIO]]</f>
        <v>0</v>
      </c>
      <c r="H260" s="82">
        <f>Fluxo_de_Caixa_Janeiro345911[[#This Row],[JUNHO]]</f>
        <v>0</v>
      </c>
      <c r="I260" s="36">
        <f>Fluxo_de_Caixa_Janeiro3459117[[#This Row],[JULHO]]</f>
        <v>0</v>
      </c>
      <c r="J260" s="82">
        <f>Fluxo_de_Caixa_Janeiro345911710[[#This Row],[AGOSTO]]</f>
        <v>0</v>
      </c>
      <c r="K260" s="82">
        <f>Fluxo_de_Caixa_Janeiro34591171012[[#This Row],[SETEMBRO]]</f>
        <v>0</v>
      </c>
      <c r="L260" s="82">
        <f>Fluxo_de_Caixa_Janeiro3459117101215[[#This Row],[OUTUBRO]]</f>
        <v>0</v>
      </c>
      <c r="M260" s="82">
        <f>Fluxo_de_Caixa_Janeiro345911710121516[[#This Row],[NOVEMBRO]]</f>
        <v>0</v>
      </c>
      <c r="N260" s="120">
        <f>Fluxo_de_Caixa_Janeiro34591171012151619[[#This Row],[DEZEMBRO]]</f>
        <v>0</v>
      </c>
      <c r="O260" s="232">
        <f>SUM(Fluxo_de_Caixa_Janeiro31020818[[#This Row],[Janeiro]:[Dezembro]])</f>
        <v>0</v>
      </c>
      <c r="P260" s="141" t="str">
        <f t="shared" si="14"/>
        <v>0,00%</v>
      </c>
      <c r="Q260" s="141"/>
      <c r="R260" s="32" t="str">
        <f>IF(Fluxo_de_Caixa_Janeiro31020818[[#This Row],[% ACUMULADO  ANO 2026]]&gt;=Fluxo_de_Caixa_Janeiro31020818[[#This Row],[Coluna1]],"VERDADEIRO","FALSO")</f>
        <v>VERDADEIRO</v>
      </c>
    </row>
    <row r="261" spans="2:18" s="1" customFormat="1" ht="24" thickBot="1" x14ac:dyDescent="0.4">
      <c r="B261" s="48" t="str">
        <f>Fluxo_de_Caixa_Janeiro[[#This Row],[Fluxo de Caixa 2026 CTR]]</f>
        <v>4.3. Receitas Financeiras</v>
      </c>
      <c r="C261" s="38">
        <f>Fluxo_de_Caixa_Janeiro[[#This Row],[Janeiro]]</f>
        <v>1301.58</v>
      </c>
      <c r="D261" s="87">
        <f>Fluxo_de_Caixa_Janeiro3[[#This Row],[Fevereiro]]</f>
        <v>72.010000000000005</v>
      </c>
      <c r="E261" s="87">
        <f>Fluxo_de_Caixa_Janeiro34[[#This Row],[Março]]</f>
        <v>430.38</v>
      </c>
      <c r="F261" s="87">
        <f>Fluxo_de_Caixa_Janeiro345[[#This Row],[ABRIL]]</f>
        <v>550</v>
      </c>
      <c r="G261" s="87">
        <f>Fluxo_de_Caixa_Janeiro3459[[#This Row],[MAIO]]</f>
        <v>0</v>
      </c>
      <c r="H261" s="87">
        <f>Fluxo_de_Caixa_Janeiro345911[[#This Row],[JUNHO]]</f>
        <v>0</v>
      </c>
      <c r="I261" s="38">
        <f>Fluxo_de_Caixa_Janeiro3459117[[#This Row],[JULHO]]</f>
        <v>0</v>
      </c>
      <c r="J261" s="87">
        <f>Fluxo_de_Caixa_Janeiro345911710[[#This Row],[AGOSTO]]</f>
        <v>0</v>
      </c>
      <c r="K261" s="87">
        <f>Fluxo_de_Caixa_Janeiro34591171012[[#This Row],[SETEMBRO]]</f>
        <v>0</v>
      </c>
      <c r="L261" s="87">
        <f>Fluxo_de_Caixa_Janeiro3459117101215[[#This Row],[OUTUBRO]]</f>
        <v>0</v>
      </c>
      <c r="M261" s="87">
        <f>Fluxo_de_Caixa_Janeiro345911710121516[[#This Row],[NOVEMBRO]]</f>
        <v>0</v>
      </c>
      <c r="N261" s="125">
        <f>Fluxo_de_Caixa_Janeiro34591171012151619[[#This Row],[DEZEMBRO]]</f>
        <v>0</v>
      </c>
      <c r="O261" s="216">
        <f>SUM(Fluxo_de_Caixa_Janeiro31020818[[#This Row],[Janeiro]:[Dezembro]])</f>
        <v>2353.9699999999998</v>
      </c>
      <c r="P261" s="247">
        <f t="shared" si="14"/>
        <v>4.3048823071507934E-4</v>
      </c>
      <c r="Q261" s="247"/>
      <c r="R261" s="32" t="str">
        <f>IF(Fluxo_de_Caixa_Janeiro31020818[[#This Row],[% ACUMULADO  ANO 2026]]&gt;=Fluxo_de_Caixa_Janeiro31020818[[#This Row],[Coluna1]],"VERDADEIRO","FALSO")</f>
        <v>VERDADEIRO</v>
      </c>
    </row>
    <row r="262" spans="2:18" x14ac:dyDescent="0.25">
      <c r="B262" s="49" t="str">
        <f>Fluxo_de_Caixa_Janeiro[[#This Row],[Fluxo de Caixa 2026 CTR]]</f>
        <v>4.3.01. JUROS E MULTAS RECEBIDOS</v>
      </c>
      <c r="C262" s="41">
        <f>Fluxo_de_Caixa_Janeiro[[#This Row],[Janeiro]]</f>
        <v>0</v>
      </c>
      <c r="D262" s="81">
        <f>Fluxo_de_Caixa_Janeiro3[[#This Row],[Fevereiro]]</f>
        <v>0</v>
      </c>
      <c r="E262" s="81">
        <f>Fluxo_de_Caixa_Janeiro34[[#This Row],[Março]]</f>
        <v>0</v>
      </c>
      <c r="F262" s="81">
        <f>Fluxo_de_Caixa_Janeiro345[[#This Row],[ABRIL]]</f>
        <v>0</v>
      </c>
      <c r="G262" s="81">
        <f>Fluxo_de_Caixa_Janeiro3459[[#This Row],[MAIO]]</f>
        <v>0</v>
      </c>
      <c r="H262" s="81">
        <f>Fluxo_de_Caixa_Janeiro345911[[#This Row],[JUNHO]]</f>
        <v>0</v>
      </c>
      <c r="I262" s="41">
        <f>Fluxo_de_Caixa_Janeiro3459117[[#This Row],[JULHO]]</f>
        <v>0</v>
      </c>
      <c r="J262" s="81">
        <f>Fluxo_de_Caixa_Janeiro345911710[[#This Row],[AGOSTO]]</f>
        <v>0</v>
      </c>
      <c r="K262" s="81">
        <f>Fluxo_de_Caixa_Janeiro34591171012[[#This Row],[SETEMBRO]]</f>
        <v>0</v>
      </c>
      <c r="L262" s="81">
        <f>Fluxo_de_Caixa_Janeiro3459117101215[[#This Row],[OUTUBRO]]</f>
        <v>0</v>
      </c>
      <c r="M262" s="81">
        <f>Fluxo_de_Caixa_Janeiro345911710121516[[#This Row],[NOVEMBRO]]</f>
        <v>0</v>
      </c>
      <c r="N262" s="118">
        <f>Fluxo_de_Caixa_Janeiro34591171012151619[[#This Row],[DEZEMBRO]]</f>
        <v>0</v>
      </c>
      <c r="O262" s="230">
        <f>SUM(Fluxo_de_Caixa_Janeiro31020818[[#This Row],[Janeiro]:[Dezembro]])</f>
        <v>0</v>
      </c>
      <c r="P262" s="29" t="str">
        <f t="shared" si="14"/>
        <v>0,00%</v>
      </c>
      <c r="Q262" s="29"/>
      <c r="R262" s="32" t="str">
        <f>IF(Fluxo_de_Caixa_Janeiro31020818[[#This Row],[% ACUMULADO  ANO 2026]]&gt;=Fluxo_de_Caixa_Janeiro31020818[[#This Row],[Coluna1]],"VERDADEIRO","FALSO")</f>
        <v>VERDADEIRO</v>
      </c>
    </row>
    <row r="263" spans="2:18" x14ac:dyDescent="0.25">
      <c r="B263" s="50" t="str">
        <f>Fluxo_de_Caixa_Janeiro[[#This Row],[Fluxo de Caixa 2026 CTR]]</f>
        <v>4.3.02. SOBRA ACERTO CAIXA</v>
      </c>
      <c r="C263" s="35">
        <f>Fluxo_de_Caixa_Janeiro[[#This Row],[Janeiro]]</f>
        <v>0</v>
      </c>
      <c r="D263" s="62">
        <f>Fluxo_de_Caixa_Janeiro3[[#This Row],[Fevereiro]]</f>
        <v>0</v>
      </c>
      <c r="E263" s="62">
        <f>Fluxo_de_Caixa_Janeiro34[[#This Row],[Março]]</f>
        <v>0</v>
      </c>
      <c r="F263" s="62">
        <f>Fluxo_de_Caixa_Janeiro345[[#This Row],[ABRIL]]</f>
        <v>0</v>
      </c>
      <c r="G263" s="62">
        <f>Fluxo_de_Caixa_Janeiro3459[[#This Row],[MAIO]]</f>
        <v>0</v>
      </c>
      <c r="H263" s="62">
        <f>Fluxo_de_Caixa_Janeiro345911[[#This Row],[JUNHO]]</f>
        <v>0</v>
      </c>
      <c r="I263" s="35">
        <f>Fluxo_de_Caixa_Janeiro3459117[[#This Row],[JULHO]]</f>
        <v>0</v>
      </c>
      <c r="J263" s="62">
        <f>Fluxo_de_Caixa_Janeiro345911710[[#This Row],[AGOSTO]]</f>
        <v>0</v>
      </c>
      <c r="K263" s="62">
        <f>Fluxo_de_Caixa_Janeiro34591171012[[#This Row],[SETEMBRO]]</f>
        <v>0</v>
      </c>
      <c r="L263" s="62">
        <f>Fluxo_de_Caixa_Janeiro3459117101215[[#This Row],[OUTUBRO]]</f>
        <v>0</v>
      </c>
      <c r="M263" s="62">
        <f>Fluxo_de_Caixa_Janeiro345911710121516[[#This Row],[NOVEMBRO]]</f>
        <v>0</v>
      </c>
      <c r="N263" s="119">
        <f>Fluxo_de_Caixa_Janeiro34591171012151619[[#This Row],[DEZEMBRO]]</f>
        <v>0</v>
      </c>
      <c r="O263" s="231">
        <f>SUM(Fluxo_de_Caixa_Janeiro31020818[[#This Row],[Janeiro]:[Dezembro]])</f>
        <v>0</v>
      </c>
      <c r="P263" s="140" t="str">
        <f t="shared" si="14"/>
        <v>0,00%</v>
      </c>
      <c r="Q263" s="140"/>
      <c r="R263" s="32" t="str">
        <f>IF(Fluxo_de_Caixa_Janeiro31020818[[#This Row],[% ACUMULADO  ANO 2026]]&gt;=Fluxo_de_Caixa_Janeiro31020818[[#This Row],[Coluna1]],"VERDADEIRO","FALSO")</f>
        <v>VERDADEIRO</v>
      </c>
    </row>
    <row r="264" spans="2:18" x14ac:dyDescent="0.25">
      <c r="B264" s="50" t="str">
        <f>Fluxo_de_Caixa_Janeiro[[#This Row],[Fluxo de Caixa 2026 CTR]]</f>
        <v>4.3.03. DESCONTOS OBTIDOS</v>
      </c>
      <c r="C264" s="35">
        <f>Fluxo_de_Caixa_Janeiro[[#This Row],[Janeiro]]</f>
        <v>0</v>
      </c>
      <c r="D264" s="62">
        <f>Fluxo_de_Caixa_Janeiro3[[#This Row],[Fevereiro]]</f>
        <v>0</v>
      </c>
      <c r="E264" s="62">
        <f>Fluxo_de_Caixa_Janeiro34[[#This Row],[Março]]</f>
        <v>0</v>
      </c>
      <c r="F264" s="62">
        <f>Fluxo_de_Caixa_Janeiro345[[#This Row],[ABRIL]]</f>
        <v>0</v>
      </c>
      <c r="G264" s="62">
        <f>Fluxo_de_Caixa_Janeiro3459[[#This Row],[MAIO]]</f>
        <v>0</v>
      </c>
      <c r="H264" s="62">
        <f>Fluxo_de_Caixa_Janeiro345911[[#This Row],[JUNHO]]</f>
        <v>0</v>
      </c>
      <c r="I264" s="35">
        <f>Fluxo_de_Caixa_Janeiro3459117[[#This Row],[JULHO]]</f>
        <v>0</v>
      </c>
      <c r="J264" s="62">
        <f>Fluxo_de_Caixa_Janeiro345911710[[#This Row],[AGOSTO]]</f>
        <v>0</v>
      </c>
      <c r="K264" s="62">
        <f>Fluxo_de_Caixa_Janeiro34591171012[[#This Row],[SETEMBRO]]</f>
        <v>0</v>
      </c>
      <c r="L264" s="62">
        <f>Fluxo_de_Caixa_Janeiro3459117101215[[#This Row],[OUTUBRO]]</f>
        <v>0</v>
      </c>
      <c r="M264" s="62">
        <f>Fluxo_de_Caixa_Janeiro345911710121516[[#This Row],[NOVEMBRO]]</f>
        <v>0</v>
      </c>
      <c r="N264" s="119">
        <f>Fluxo_de_Caixa_Janeiro34591171012151619[[#This Row],[DEZEMBRO]]</f>
        <v>0</v>
      </c>
      <c r="O264" s="231">
        <f>SUM(Fluxo_de_Caixa_Janeiro31020818[[#This Row],[Janeiro]:[Dezembro]])</f>
        <v>0</v>
      </c>
      <c r="P264" s="140" t="str">
        <f t="shared" si="14"/>
        <v>0,00%</v>
      </c>
      <c r="Q264" s="140"/>
      <c r="R264" s="32" t="str">
        <f>IF(Fluxo_de_Caixa_Janeiro31020818[[#This Row],[% ACUMULADO  ANO 2026]]&gt;=Fluxo_de_Caixa_Janeiro31020818[[#This Row],[Coluna1]],"VERDADEIRO","FALSO")</f>
        <v>VERDADEIRO</v>
      </c>
    </row>
    <row r="265" spans="2:18" x14ac:dyDescent="0.25">
      <c r="B265" s="50" t="str">
        <f>Fluxo_de_Caixa_Janeiro[[#This Row],[Fluxo de Caixa 2026 CTR]]</f>
        <v>4.3.04. OUTRAS RECEITAS FINANCEIRAS</v>
      </c>
      <c r="C265" s="35">
        <f>Fluxo_de_Caixa_Janeiro[[#This Row],[Janeiro]]</f>
        <v>0</v>
      </c>
      <c r="D265" s="62">
        <f>Fluxo_de_Caixa_Janeiro3[[#This Row],[Fevereiro]]</f>
        <v>0</v>
      </c>
      <c r="E265" s="62">
        <f>Fluxo_de_Caixa_Janeiro34[[#This Row],[Março]]</f>
        <v>0</v>
      </c>
      <c r="F265" s="62">
        <f>Fluxo_de_Caixa_Janeiro345[[#This Row],[ABRIL]]</f>
        <v>0</v>
      </c>
      <c r="G265" s="62">
        <f>Fluxo_de_Caixa_Janeiro3459[[#This Row],[MAIO]]</f>
        <v>0</v>
      </c>
      <c r="H265" s="62">
        <f>Fluxo_de_Caixa_Janeiro345911[[#This Row],[JUNHO]]</f>
        <v>0</v>
      </c>
      <c r="I265" s="35">
        <f>Fluxo_de_Caixa_Janeiro3459117[[#This Row],[JULHO]]</f>
        <v>0</v>
      </c>
      <c r="J265" s="62">
        <f>Fluxo_de_Caixa_Janeiro345911710[[#This Row],[AGOSTO]]</f>
        <v>0</v>
      </c>
      <c r="K265" s="62">
        <f>Fluxo_de_Caixa_Janeiro34591171012[[#This Row],[SETEMBRO]]</f>
        <v>0</v>
      </c>
      <c r="L265" s="62">
        <f>Fluxo_de_Caixa_Janeiro3459117101215[[#This Row],[OUTUBRO]]</f>
        <v>0</v>
      </c>
      <c r="M265" s="62">
        <f>Fluxo_de_Caixa_Janeiro345911710121516[[#This Row],[NOVEMBRO]]</f>
        <v>0</v>
      </c>
      <c r="N265" s="119">
        <f>Fluxo_de_Caixa_Janeiro34591171012151619[[#This Row],[DEZEMBRO]]</f>
        <v>0</v>
      </c>
      <c r="O265" s="231">
        <f>SUM(Fluxo_de_Caixa_Janeiro31020818[[#This Row],[Janeiro]:[Dezembro]])</f>
        <v>0</v>
      </c>
      <c r="P265" s="140" t="str">
        <f t="shared" si="14"/>
        <v>0,00%</v>
      </c>
      <c r="Q265" s="140"/>
      <c r="R265" s="32" t="str">
        <f>IF(Fluxo_de_Caixa_Janeiro31020818[[#This Row],[% ACUMULADO  ANO 2026]]&gt;=Fluxo_de_Caixa_Janeiro31020818[[#This Row],[Coluna1]],"VERDADEIRO","FALSO")</f>
        <v>VERDADEIRO</v>
      </c>
    </row>
    <row r="266" spans="2:18" x14ac:dyDescent="0.25">
      <c r="B266" s="393" t="str">
        <f>Fluxo_de_Caixa_Janeiro[[#This Row],[Fluxo de Caixa 2026 CTR]]</f>
        <v>4.3.05. RECEITA DE BRINDE E EXPOSITORES</v>
      </c>
      <c r="C266" s="357">
        <f>Fluxo_de_Caixa_Janeiro[[#This Row],[Janeiro]]</f>
        <v>0</v>
      </c>
      <c r="D266" s="306">
        <f>Fluxo_de_Caixa_Janeiro3[[#This Row],[Fevereiro]]</f>
        <v>0</v>
      </c>
      <c r="E266" s="306">
        <f>Fluxo_de_Caixa_Janeiro34[[#This Row],[Março]]</f>
        <v>0</v>
      </c>
      <c r="F266" s="306">
        <f>Fluxo_de_Caixa_Janeiro345[[#This Row],[ABRIL]]</f>
        <v>0</v>
      </c>
      <c r="G266" s="306">
        <f>Fluxo_de_Caixa_Janeiro3459[[#This Row],[MAIO]]</f>
        <v>0</v>
      </c>
      <c r="H266" s="306">
        <f>Fluxo_de_Caixa_Janeiro345911[[#This Row],[JUNHO]]</f>
        <v>0</v>
      </c>
      <c r="I266" s="357">
        <f>Fluxo_de_Caixa_Janeiro3459117[[#This Row],[JULHO]]</f>
        <v>0</v>
      </c>
      <c r="J266" s="306">
        <f>Fluxo_de_Caixa_Janeiro345911710[[#This Row],[AGOSTO]]</f>
        <v>0</v>
      </c>
      <c r="K266" s="306">
        <f>Fluxo_de_Caixa_Janeiro34591171012[[#This Row],[SETEMBRO]]</f>
        <v>0</v>
      </c>
      <c r="L266" s="306">
        <f>Fluxo_de_Caixa_Janeiro3459117101215[[#This Row],[OUTUBRO]]</f>
        <v>0</v>
      </c>
      <c r="M266" s="306">
        <f>Fluxo_de_Caixa_Janeiro345911710121516[[#This Row],[NOVEMBRO]]</f>
        <v>0</v>
      </c>
      <c r="N266" s="360">
        <f>Fluxo_de_Caixa_Janeiro34591171012151619[[#This Row],[DEZEMBRO]]</f>
        <v>0</v>
      </c>
      <c r="O266" s="231">
        <f>SUM(Fluxo_de_Caixa_Janeiro31020818[[#This Row],[Janeiro]:[Dezembro]])</f>
        <v>0</v>
      </c>
      <c r="P266" s="140" t="str">
        <f t="shared" si="14"/>
        <v>0,00%</v>
      </c>
      <c r="Q266" s="140"/>
      <c r="R266" s="32" t="str">
        <f>IF(Fluxo_de_Caixa_Janeiro31020818[[#This Row],[% ACUMULADO  ANO 2026]]&gt;=Fluxo_de_Caixa_Janeiro31020818[[#This Row],[Coluna1]],"VERDADEIRO","FALSO")</f>
        <v>VERDADEIRO</v>
      </c>
    </row>
    <row r="267" spans="2:18" hidden="1" x14ac:dyDescent="0.25">
      <c r="B267" s="364">
        <f>Fluxo_de_Caixa_Janeiro[[#This Row],[Fluxo de Caixa 2026 CTR]]</f>
        <v>0</v>
      </c>
      <c r="C267" s="357">
        <f>Fluxo_de_Caixa_Janeiro[[#This Row],[Janeiro]]</f>
        <v>0</v>
      </c>
      <c r="D267" s="306">
        <f>Fluxo_de_Caixa_Janeiro3[[#This Row],[Fevereiro]]</f>
        <v>0</v>
      </c>
      <c r="E267" s="306">
        <f>Fluxo_de_Caixa_Janeiro34[[#This Row],[Março]]</f>
        <v>0</v>
      </c>
      <c r="F267" s="306">
        <f>Fluxo_de_Caixa_Janeiro345[[#This Row],[ABRIL]]</f>
        <v>0</v>
      </c>
      <c r="G267" s="306">
        <f>Fluxo_de_Caixa_Janeiro3459[[#This Row],[MAIO]]</f>
        <v>0</v>
      </c>
      <c r="H267" s="306">
        <f>Fluxo_de_Caixa_Janeiro345911[[#This Row],[JUNHO]]</f>
        <v>0</v>
      </c>
      <c r="I267" s="357">
        <f>Fluxo_de_Caixa_Janeiro3459117[[#This Row],[JULHO]]</f>
        <v>0</v>
      </c>
      <c r="J267" s="306">
        <f>Fluxo_de_Caixa_Janeiro345911710[[#This Row],[AGOSTO]]</f>
        <v>0</v>
      </c>
      <c r="K267" s="306">
        <f>Fluxo_de_Caixa_Janeiro34591171012[[#This Row],[SETEMBRO]]</f>
        <v>0</v>
      </c>
      <c r="L267" s="306">
        <f>Fluxo_de_Caixa_Janeiro3459117101215[[#This Row],[OUTUBRO]]</f>
        <v>0</v>
      </c>
      <c r="M267" s="306">
        <f>Fluxo_de_Caixa_Janeiro345911710121516[[#This Row],[NOVEMBRO]]</f>
        <v>0</v>
      </c>
      <c r="N267" s="360">
        <f>Fluxo_de_Caixa_Janeiro34591171012151619[[#This Row],[DEZEMBRO]]</f>
        <v>0</v>
      </c>
      <c r="O267" s="231">
        <f>SUM(Fluxo_de_Caixa_Janeiro31020818[[#This Row],[Janeiro]:[Dezembro]])</f>
        <v>0</v>
      </c>
      <c r="P267" s="140" t="str">
        <f t="shared" si="14"/>
        <v>0,00%</v>
      </c>
      <c r="Q267" s="140"/>
      <c r="R267" s="32" t="str">
        <f>IF(Fluxo_de_Caixa_Janeiro31020818[[#This Row],[% ACUMULADO  ANO 2026]]&gt;=Fluxo_de_Caixa_Janeiro31020818[[#This Row],[Coluna1]],"VERDADEIRO","FALSO")</f>
        <v>VERDADEIRO</v>
      </c>
    </row>
    <row r="268" spans="2:18" x14ac:dyDescent="0.25">
      <c r="B268" s="364" t="str">
        <f>Fluxo_de_Caixa_Janeiro[[#This Row],[Fluxo de Caixa 2026 CTR]]</f>
        <v>4.3.07. RECEITA NÃO IDENTIFICADA</v>
      </c>
      <c r="C268" s="357">
        <f>Fluxo_de_Caixa_Janeiro[[#This Row],[Janeiro]]</f>
        <v>1301.58</v>
      </c>
      <c r="D268" s="306">
        <f>Fluxo_de_Caixa_Janeiro3[[#This Row],[Fevereiro]]</f>
        <v>72.010000000000005</v>
      </c>
      <c r="E268" s="306">
        <f>Fluxo_de_Caixa_Janeiro34[[#This Row],[Março]]</f>
        <v>580.38</v>
      </c>
      <c r="F268" s="306">
        <f>Fluxo_de_Caixa_Janeiro345[[#This Row],[ABRIL]]</f>
        <v>0</v>
      </c>
      <c r="G268" s="306">
        <f>Fluxo_de_Caixa_Janeiro3459[[#This Row],[MAIO]]</f>
        <v>0</v>
      </c>
      <c r="H268" s="306">
        <f>Fluxo_de_Caixa_Janeiro345911[[#This Row],[JUNHO]]</f>
        <v>0</v>
      </c>
      <c r="I268" s="357">
        <f>Fluxo_de_Caixa_Janeiro3459117[[#This Row],[JULHO]]</f>
        <v>0</v>
      </c>
      <c r="J268" s="306">
        <f>Fluxo_de_Caixa_Janeiro345911710[[#This Row],[AGOSTO]]</f>
        <v>0</v>
      </c>
      <c r="K268" s="306">
        <f>Fluxo_de_Caixa_Janeiro34591171012[[#This Row],[SETEMBRO]]</f>
        <v>0</v>
      </c>
      <c r="L268" s="306">
        <f>Fluxo_de_Caixa_Janeiro3459117101215[[#This Row],[OUTUBRO]]</f>
        <v>0</v>
      </c>
      <c r="M268" s="306">
        <f>Fluxo_de_Caixa_Janeiro345911710121516[[#This Row],[NOVEMBRO]]</f>
        <v>0</v>
      </c>
      <c r="N268" s="360">
        <f>Fluxo_de_Caixa_Janeiro34591171012151619[[#This Row],[DEZEMBRO]]</f>
        <v>0</v>
      </c>
      <c r="O268" s="231">
        <f>SUM(Fluxo_de_Caixa_Janeiro31020818[[#This Row],[Janeiro]:[Dezembro]])</f>
        <v>1953.9699999999998</v>
      </c>
      <c r="P268" s="140">
        <f t="shared" si="14"/>
        <v>3.5733721677436143E-4</v>
      </c>
      <c r="Q268" s="140"/>
      <c r="R268" s="32" t="str">
        <f>IF(Fluxo_de_Caixa_Janeiro31020818[[#This Row],[% ACUMULADO  ANO 2026]]&gt;=Fluxo_de_Caixa_Janeiro31020818[[#This Row],[Coluna1]],"VERDADEIRO","FALSO")</f>
        <v>VERDADEIRO</v>
      </c>
    </row>
    <row r="269" spans="2:18" x14ac:dyDescent="0.25">
      <c r="B269" s="364" t="str">
        <f>Fluxo_de_Caixa_Janeiro[[#This Row],[Fluxo de Caixa 2026 CTR]]</f>
        <v>4.3.08. DESPESAS NÃO IDENTIFICADAS ( - )</v>
      </c>
      <c r="C269" s="357">
        <f>Fluxo_de_Caixa_Janeiro[[#This Row],[Janeiro]]</f>
        <v>0</v>
      </c>
      <c r="D269" s="306">
        <f>Fluxo_de_Caixa_Janeiro3[[#This Row],[Fevereiro]]</f>
        <v>0</v>
      </c>
      <c r="E269" s="306">
        <f>Fluxo_de_Caixa_Janeiro34[[#This Row],[Março]]</f>
        <v>-150</v>
      </c>
      <c r="F269" s="306">
        <f>Fluxo_de_Caixa_Janeiro345[[#This Row],[ABRIL]]</f>
        <v>0</v>
      </c>
      <c r="G269" s="306">
        <f>Fluxo_de_Caixa_Janeiro3459[[#This Row],[MAIO]]</f>
        <v>0</v>
      </c>
      <c r="H269" s="306">
        <f>Fluxo_de_Caixa_Janeiro345911[[#This Row],[JUNHO]]</f>
        <v>0</v>
      </c>
      <c r="I269" s="357">
        <f>Fluxo_de_Caixa_Janeiro3459117[[#This Row],[JULHO]]</f>
        <v>0</v>
      </c>
      <c r="J269" s="306">
        <f>Fluxo_de_Caixa_Janeiro345911710[[#This Row],[AGOSTO]]</f>
        <v>0</v>
      </c>
      <c r="K269" s="306">
        <f>Fluxo_de_Caixa_Janeiro34591171012[[#This Row],[SETEMBRO]]</f>
        <v>0</v>
      </c>
      <c r="L269" s="306">
        <f>Fluxo_de_Caixa_Janeiro3459117101215[[#This Row],[OUTUBRO]]</f>
        <v>0</v>
      </c>
      <c r="M269" s="306">
        <f>Fluxo_de_Caixa_Janeiro345911710121516[[#This Row],[NOVEMBRO]]</f>
        <v>0</v>
      </c>
      <c r="N269" s="360">
        <f>Fluxo_de_Caixa_Janeiro34591171012151619[[#This Row],[DEZEMBRO]]</f>
        <v>0</v>
      </c>
      <c r="O269" s="231">
        <f>SUM(Fluxo_de_Caixa_Janeiro31020818[[#This Row],[Janeiro]:[Dezembro]])</f>
        <v>-150</v>
      </c>
      <c r="P269" s="140">
        <f t="shared" si="14"/>
        <v>-2.7431630227769218E-5</v>
      </c>
      <c r="Q269" s="140"/>
      <c r="R269" s="32" t="str">
        <f>IF(Fluxo_de_Caixa_Janeiro31020818[[#This Row],[% ACUMULADO  ANO 2026]]&gt;=Fluxo_de_Caixa_Janeiro31020818[[#This Row],[Coluna1]],"VERDADEIRO","FALSO")</f>
        <v>FALSO</v>
      </c>
    </row>
    <row r="270" spans="2:18" x14ac:dyDescent="0.25">
      <c r="B270" s="393" t="str">
        <f>Fluxo_de_Caixa_Janeiro[[#This Row],[Fluxo de Caixa 2026 CTR]]</f>
        <v>4.3.09. PATROCÍNIO  EM DINHEIRO</v>
      </c>
      <c r="C270" s="358">
        <f>Fluxo_de_Caixa_Janeiro[[#This Row],[Janeiro]]</f>
        <v>0</v>
      </c>
      <c r="D270" s="359">
        <f>Fluxo_de_Caixa_Janeiro3[[#This Row],[Fevereiro]]</f>
        <v>0</v>
      </c>
      <c r="E270" s="359">
        <f>Fluxo_de_Caixa_Janeiro34[[#This Row],[Março]]</f>
        <v>0</v>
      </c>
      <c r="F270" s="359">
        <f>Fluxo_de_Caixa_Janeiro345[[#This Row],[ABRIL]]</f>
        <v>550</v>
      </c>
      <c r="G270" s="359">
        <f>Fluxo_de_Caixa_Janeiro3459[[#This Row],[MAIO]]</f>
        <v>0</v>
      </c>
      <c r="H270" s="359">
        <f>Fluxo_de_Caixa_Janeiro345911[[#This Row],[JUNHO]]</f>
        <v>0</v>
      </c>
      <c r="I270" s="358">
        <f>Fluxo_de_Caixa_Janeiro3459117[[#This Row],[JULHO]]</f>
        <v>0</v>
      </c>
      <c r="J270" s="359">
        <f>Fluxo_de_Caixa_Janeiro345911710[[#This Row],[AGOSTO]]</f>
        <v>0</v>
      </c>
      <c r="K270" s="359">
        <f>Fluxo_de_Caixa_Janeiro34591171012[[#This Row],[SETEMBRO]]</f>
        <v>0</v>
      </c>
      <c r="L270" s="359">
        <f>Fluxo_de_Caixa_Janeiro3459117101215[[#This Row],[OUTUBRO]]</f>
        <v>0</v>
      </c>
      <c r="M270" s="359">
        <f>Fluxo_de_Caixa_Janeiro345911710121516[[#This Row],[NOVEMBRO]]</f>
        <v>0</v>
      </c>
      <c r="N270" s="361">
        <f>Fluxo_de_Caixa_Janeiro34591171012151619[[#This Row],[DEZEMBRO]]</f>
        <v>0</v>
      </c>
      <c r="O270" s="231">
        <f>SUM(Fluxo_de_Caixa_Janeiro31020818[[#This Row],[Janeiro]:[Dezembro]])</f>
        <v>550</v>
      </c>
      <c r="P270" s="140">
        <f t="shared" si="14"/>
        <v>1.0058264416848714E-4</v>
      </c>
      <c r="Q270" s="140"/>
      <c r="R270" s="32" t="str">
        <f>IF(Fluxo_de_Caixa_Janeiro31020818[[#This Row],[% ACUMULADO  ANO 2026]]&gt;=Fluxo_de_Caixa_Janeiro31020818[[#This Row],[Coluna1]],"VERDADEIRO","FALSO")</f>
        <v>VERDADEIRO</v>
      </c>
    </row>
    <row r="271" spans="2:18" ht="15.75" thickBot="1" x14ac:dyDescent="0.3">
      <c r="B271" s="393" t="str">
        <f>Fluxo_de_Caixa_Janeiro[[#This Row],[Fluxo de Caixa 2026 CTR]]</f>
        <v>4.3.10. BONIFICAÇÃO EM PRODUTOS</v>
      </c>
      <c r="C271" s="358">
        <f>Fluxo_de_Caixa_Janeiro[[#This Row],[Janeiro]]</f>
        <v>0</v>
      </c>
      <c r="D271" s="359">
        <f>Fluxo_de_Caixa_Janeiro3[[#This Row],[Fevereiro]]</f>
        <v>0</v>
      </c>
      <c r="E271" s="359">
        <f>Fluxo_de_Caixa_Janeiro34[[#This Row],[Março]]</f>
        <v>0</v>
      </c>
      <c r="F271" s="359">
        <f>Fluxo_de_Caixa_Janeiro345[[#This Row],[ABRIL]]</f>
        <v>0</v>
      </c>
      <c r="G271" s="359">
        <f>Fluxo_de_Caixa_Janeiro3459[[#This Row],[MAIO]]</f>
        <v>0</v>
      </c>
      <c r="H271" s="359">
        <f>Fluxo_de_Caixa_Janeiro345911[[#This Row],[JUNHO]]</f>
        <v>0</v>
      </c>
      <c r="I271" s="358">
        <f>Fluxo_de_Caixa_Janeiro3459117[[#This Row],[JULHO]]</f>
        <v>0</v>
      </c>
      <c r="J271" s="359">
        <f>Fluxo_de_Caixa_Janeiro345911710[[#This Row],[AGOSTO]]</f>
        <v>0</v>
      </c>
      <c r="K271" s="359">
        <f>Fluxo_de_Caixa_Janeiro34591171012[[#This Row],[SETEMBRO]]</f>
        <v>0</v>
      </c>
      <c r="L271" s="359">
        <f>Fluxo_de_Caixa_Janeiro3459117101215[[#This Row],[OUTUBRO]]</f>
        <v>0</v>
      </c>
      <c r="M271" s="359">
        <f>Fluxo_de_Caixa_Janeiro345911710121516[[#This Row],[NOVEMBRO]]</f>
        <v>0</v>
      </c>
      <c r="N271" s="361">
        <f>Fluxo_de_Caixa_Janeiro34591171012151619[[#This Row],[DEZEMBRO]]</f>
        <v>0</v>
      </c>
      <c r="O271" s="231">
        <f>SUM(Fluxo_de_Caixa_Janeiro31020818[[#This Row],[Janeiro]:[Dezembro]])</f>
        <v>0</v>
      </c>
      <c r="P271" s="140" t="str">
        <f t="shared" si="14"/>
        <v>0,00%</v>
      </c>
      <c r="Q271" s="140"/>
      <c r="R271" s="32" t="str">
        <f>IF(Fluxo_de_Caixa_Janeiro31020818[[#This Row],[% ACUMULADO  ANO 2026]]&gt;=Fluxo_de_Caixa_Janeiro31020818[[#This Row],[Coluna1]],"VERDADEIRO","FALSO")</f>
        <v>VERDADEIRO</v>
      </c>
    </row>
    <row r="272" spans="2:18" ht="25.15" customHeight="1" thickBot="1" x14ac:dyDescent="0.45">
      <c r="B272" s="474" t="str">
        <f>Fluxo_de_Caixa_Janeiro[[#This Row],[Fluxo de Caixa 2026 CTR]]</f>
        <v>Despesas Não Operacional</v>
      </c>
      <c r="C272" s="476"/>
      <c r="D272" s="477"/>
      <c r="E272" s="477"/>
      <c r="F272" s="477"/>
      <c r="G272" s="477"/>
      <c r="H272" s="477"/>
      <c r="I272" s="477"/>
      <c r="J272" s="477"/>
      <c r="K272" s="477"/>
      <c r="L272" s="477"/>
      <c r="M272" s="477"/>
      <c r="N272" s="478">
        <f>Fluxo_de_Caixa_Janeiro34591171012151619[[#This Row],[DEZEMBRO]]</f>
        <v>0</v>
      </c>
      <c r="O272" s="475"/>
      <c r="P272" s="146"/>
      <c r="Q272" s="146"/>
      <c r="R272" s="32" t="str">
        <f>IF(Fluxo_de_Caixa_Janeiro31020818[[#This Row],[% ACUMULADO  ANO 2026]]&gt;=Fluxo_de_Caixa_Janeiro31020818[[#This Row],[Coluna1]],"VERDADEIRO","FALSO")</f>
        <v>VERDADEIRO</v>
      </c>
    </row>
    <row r="273" spans="2:18" ht="24" customHeight="1" thickBot="1" x14ac:dyDescent="0.4">
      <c r="B273" s="278" t="str">
        <f>Fluxo_de_Caixa_Janeiro[[#This Row],[Fluxo de Caixa 2026 CTR]]</f>
        <v>5.1. EMPRESTIMO / FINANCIAMENTO</v>
      </c>
      <c r="C273" s="157">
        <f>Fluxo_de_Caixa_Janeiro[[#This Row],[Janeiro]]</f>
        <v>-18250.93</v>
      </c>
      <c r="D273" s="94">
        <f>Fluxo_de_Caixa_Janeiro3[[#This Row],[Fevereiro]]</f>
        <v>-18250.93</v>
      </c>
      <c r="E273" s="94">
        <f>Fluxo_de_Caixa_Janeiro34[[#This Row],[Março]]</f>
        <v>-230402.77</v>
      </c>
      <c r="F273" s="94">
        <f>Fluxo_de_Caixa_Janeiro345[[#This Row],[ABRIL]]</f>
        <v>-18250.93</v>
      </c>
      <c r="G273" s="94">
        <f>Fluxo_de_Caixa_Janeiro3459[[#This Row],[MAIO]]</f>
        <v>-31458.48</v>
      </c>
      <c r="H273" s="94">
        <f>Fluxo_de_Caixa_Janeiro345911[[#This Row],[JUNHO]]</f>
        <v>0</v>
      </c>
      <c r="I273" s="157">
        <f>Fluxo_de_Caixa_Janeiro3459117[[#This Row],[JULHO]]</f>
        <v>0</v>
      </c>
      <c r="J273" s="94">
        <f>Fluxo_de_Caixa_Janeiro345911710[[#This Row],[AGOSTO]]</f>
        <v>0</v>
      </c>
      <c r="K273" s="94">
        <f>Fluxo_de_Caixa_Janeiro34591171012[[#This Row],[SETEMBRO]]</f>
        <v>0</v>
      </c>
      <c r="L273" s="94">
        <f>Fluxo_de_Caixa_Janeiro3459117101215[[#This Row],[OUTUBRO]]</f>
        <v>0</v>
      </c>
      <c r="M273" s="94">
        <f>Fluxo_de_Caixa_Janeiro345911710121516[[#This Row],[NOVEMBRO]]</f>
        <v>0</v>
      </c>
      <c r="N273" s="128">
        <f>Fluxo_de_Caixa_Janeiro34591171012151619[[#This Row],[DEZEMBRO]]</f>
        <v>0</v>
      </c>
      <c r="O273" s="222">
        <f>SUM(Fluxo_de_Caixa_Janeiro31020818[[#This Row],[Janeiro]:[Dezembro]])</f>
        <v>-316614.03999999998</v>
      </c>
      <c r="P273" s="143">
        <f>-IFERROR(O273/$O$332,"0,00")</f>
        <v>5.7901595134667548E-2</v>
      </c>
      <c r="Q273" s="143"/>
      <c r="R273" s="32" t="str">
        <f>IF(Fluxo_de_Caixa_Janeiro31020818[[#This Row],[% ACUMULADO  ANO 2026]]&lt;=Fluxo_de_Caixa_Janeiro31020818[[#This Row],[Coluna1]],"VERDADEIRO","FALSO")</f>
        <v>FALSO</v>
      </c>
    </row>
    <row r="274" spans="2:18" x14ac:dyDescent="0.25">
      <c r="B274" s="279" t="str">
        <f>Fluxo_de_Caixa_Janeiro[[#This Row],[Fluxo de Caixa 2026 CTR]]</f>
        <v>5.1.01. BANCARIOS</v>
      </c>
      <c r="C274" s="162">
        <f>Fluxo_de_Caixa_Janeiro[[#This Row],[Janeiro]]</f>
        <v>18250.93</v>
      </c>
      <c r="D274" s="104">
        <f>Fluxo_de_Caixa_Janeiro3[[#This Row],[Fevereiro]]</f>
        <v>18250.93</v>
      </c>
      <c r="E274" s="104">
        <f>Fluxo_de_Caixa_Janeiro34[[#This Row],[Março]]</f>
        <v>230402.77</v>
      </c>
      <c r="F274" s="104">
        <f>Fluxo_de_Caixa_Janeiro345[[#This Row],[ABRIL]]</f>
        <v>18250.93</v>
      </c>
      <c r="G274" s="104">
        <f>Fluxo_de_Caixa_Janeiro3459[[#This Row],[MAIO]]</f>
        <v>31458.48</v>
      </c>
      <c r="H274" s="104">
        <f>Fluxo_de_Caixa_Janeiro345911[[#This Row],[JUNHO]]</f>
        <v>0</v>
      </c>
      <c r="I274" s="162">
        <f>Fluxo_de_Caixa_Janeiro3459117[[#This Row],[JULHO]]</f>
        <v>0</v>
      </c>
      <c r="J274" s="104">
        <f>Fluxo_de_Caixa_Janeiro345911710[[#This Row],[AGOSTO]]</f>
        <v>0</v>
      </c>
      <c r="K274" s="104">
        <f>Fluxo_de_Caixa_Janeiro34591171012[[#This Row],[SETEMBRO]]</f>
        <v>0</v>
      </c>
      <c r="L274" s="104">
        <f>Fluxo_de_Caixa_Janeiro3459117101215[[#This Row],[OUTUBRO]]</f>
        <v>0</v>
      </c>
      <c r="M274" s="104">
        <f>Fluxo_de_Caixa_Janeiro345911710121516[[#This Row],[NOVEMBRO]]</f>
        <v>0</v>
      </c>
      <c r="N274" s="133">
        <f>Fluxo_de_Caixa_Janeiro34591171012151619[[#This Row],[DEZEMBRO]]</f>
        <v>0</v>
      </c>
      <c r="O274" s="234">
        <f>SUM(Fluxo_de_Caixa_Janeiro31020818[[#This Row],[Janeiro]:[Dezembro]])</f>
        <v>316614.03999999998</v>
      </c>
      <c r="P274" s="147">
        <f>IFERROR(O274/$O$332,"0,00")</f>
        <v>5.7901595134667548E-2</v>
      </c>
      <c r="Q274" s="147"/>
      <c r="R274" s="32" t="str">
        <f>IF(Fluxo_de_Caixa_Janeiro31020818[[#This Row],[% ACUMULADO  ANO 2026]]&lt;=Fluxo_de_Caixa_Janeiro31020818[[#This Row],[Coluna1]],"VERDADEIRO","FALSO")</f>
        <v>FALSO</v>
      </c>
    </row>
    <row r="275" spans="2:18" x14ac:dyDescent="0.25">
      <c r="B275" s="270" t="str">
        <f>Fluxo_de_Caixa_Janeiro[[#This Row],[Fluxo de Caixa 2026 CTR]]</f>
        <v>5.1.02. FINANCIAMENTO</v>
      </c>
      <c r="C275" s="45">
        <f>Fluxo_de_Caixa_Janeiro[[#This Row],[Janeiro]]</f>
        <v>0</v>
      </c>
      <c r="D275" s="80">
        <f>Fluxo_de_Caixa_Janeiro3[[#This Row],[Fevereiro]]</f>
        <v>0</v>
      </c>
      <c r="E275" s="80">
        <f>Fluxo_de_Caixa_Janeiro34[[#This Row],[Março]]</f>
        <v>0</v>
      </c>
      <c r="F275" s="80">
        <f>Fluxo_de_Caixa_Janeiro345[[#This Row],[ABRIL]]</f>
        <v>0</v>
      </c>
      <c r="G275" s="80">
        <f>Fluxo_de_Caixa_Janeiro3459[[#This Row],[MAIO]]</f>
        <v>0</v>
      </c>
      <c r="H275" s="80">
        <f>Fluxo_de_Caixa_Janeiro345911[[#This Row],[JUNHO]]</f>
        <v>0</v>
      </c>
      <c r="I275" s="45">
        <f>Fluxo_de_Caixa_Janeiro3459117[[#This Row],[JULHO]]</f>
        <v>0</v>
      </c>
      <c r="J275" s="80">
        <f>Fluxo_de_Caixa_Janeiro345911710[[#This Row],[AGOSTO]]</f>
        <v>0</v>
      </c>
      <c r="K275" s="80">
        <f>Fluxo_de_Caixa_Janeiro34591171012[[#This Row],[SETEMBRO]]</f>
        <v>0</v>
      </c>
      <c r="L275" s="80">
        <f>Fluxo_de_Caixa_Janeiro3459117101215[[#This Row],[OUTUBRO]]</f>
        <v>0</v>
      </c>
      <c r="M275" s="80">
        <f>Fluxo_de_Caixa_Janeiro345911710121516[[#This Row],[NOVEMBRO]]</f>
        <v>0</v>
      </c>
      <c r="N275" s="134">
        <f>Fluxo_de_Caixa_Janeiro34591171012151619[[#This Row],[DEZEMBRO]]</f>
        <v>0</v>
      </c>
      <c r="O275" s="235">
        <f>SUM(Fluxo_de_Caixa_Janeiro31020818[[#This Row],[Janeiro]:[Dezembro]])</f>
        <v>0</v>
      </c>
      <c r="P275" s="26">
        <f t="shared" ref="P275:P289" si="15">IFERROR(O275/$O$332,"0,00")</f>
        <v>0</v>
      </c>
      <c r="Q275" s="26"/>
      <c r="R275" s="32" t="str">
        <f>IF(Fluxo_de_Caixa_Janeiro31020818[[#This Row],[% ACUMULADO  ANO 2026]]&lt;=Fluxo_de_Caixa_Janeiro31020818[[#This Row],[Coluna1]],"VERDADEIRO","FALSO")</f>
        <v>VERDADEIRO</v>
      </c>
    </row>
    <row r="276" spans="2:18" x14ac:dyDescent="0.25">
      <c r="B276" s="270" t="str">
        <f>Fluxo_de_Caixa_Janeiro[[#This Row],[Fluxo de Caixa 2026 CTR]]</f>
        <v>5.1.03. ENTRE EMPRESAS DO MESMO GRUPO</v>
      </c>
      <c r="C276" s="45">
        <f>Fluxo_de_Caixa_Janeiro[[#This Row],[Janeiro]]</f>
        <v>0</v>
      </c>
      <c r="D276" s="80">
        <f>Fluxo_de_Caixa_Janeiro3[[#This Row],[Fevereiro]]</f>
        <v>0</v>
      </c>
      <c r="E276" s="80">
        <f>Fluxo_de_Caixa_Janeiro34[[#This Row],[Março]]</f>
        <v>0</v>
      </c>
      <c r="F276" s="80">
        <f>Fluxo_de_Caixa_Janeiro345[[#This Row],[ABRIL]]</f>
        <v>0</v>
      </c>
      <c r="G276" s="80">
        <f>Fluxo_de_Caixa_Janeiro3459[[#This Row],[MAIO]]</f>
        <v>0</v>
      </c>
      <c r="H276" s="80">
        <f>Fluxo_de_Caixa_Janeiro345911[[#This Row],[JUNHO]]</f>
        <v>0</v>
      </c>
      <c r="I276" s="45">
        <f>Fluxo_de_Caixa_Janeiro3459117[[#This Row],[JULHO]]</f>
        <v>0</v>
      </c>
      <c r="J276" s="80">
        <f>Fluxo_de_Caixa_Janeiro345911710[[#This Row],[AGOSTO]]</f>
        <v>0</v>
      </c>
      <c r="K276" s="80">
        <f>Fluxo_de_Caixa_Janeiro34591171012[[#This Row],[SETEMBRO]]</f>
        <v>0</v>
      </c>
      <c r="L276" s="80">
        <f>Fluxo_de_Caixa_Janeiro3459117101215[[#This Row],[OUTUBRO]]</f>
        <v>0</v>
      </c>
      <c r="M276" s="80">
        <f>Fluxo_de_Caixa_Janeiro345911710121516[[#This Row],[NOVEMBRO]]</f>
        <v>0</v>
      </c>
      <c r="N276" s="134">
        <f>Fluxo_de_Caixa_Janeiro34591171012151619[[#This Row],[DEZEMBRO]]</f>
        <v>0</v>
      </c>
      <c r="O276" s="235">
        <f>SUM(Fluxo_de_Caixa_Janeiro31020818[[#This Row],[Janeiro]:[Dezembro]])</f>
        <v>0</v>
      </c>
      <c r="P276" s="26">
        <f t="shared" si="15"/>
        <v>0</v>
      </c>
      <c r="Q276" s="26"/>
      <c r="R276" s="32" t="str">
        <f>IF(Fluxo_de_Caixa_Janeiro31020818[[#This Row],[% ACUMULADO  ANO 2026]]&lt;=Fluxo_de_Caixa_Janeiro31020818[[#This Row],[Coluna1]],"VERDADEIRO","FALSO")</f>
        <v>VERDADEIRO</v>
      </c>
    </row>
    <row r="277" spans="2:18" ht="15.75" thickBot="1" x14ac:dyDescent="0.3">
      <c r="B277" s="270" t="str">
        <f>Fluxo_de_Caixa_Janeiro[[#This Row],[Fluxo de Caixa 2026 CTR]]</f>
        <v>5.1.04. PESSOA FISICA</v>
      </c>
      <c r="C277" s="45">
        <f>Fluxo_de_Caixa_Janeiro[[#This Row],[Janeiro]]</f>
        <v>0</v>
      </c>
      <c r="D277" s="80">
        <f>Fluxo_de_Caixa_Janeiro3[[#This Row],[Fevereiro]]</f>
        <v>0</v>
      </c>
      <c r="E277" s="80">
        <f>Fluxo_de_Caixa_Janeiro34[[#This Row],[Março]]</f>
        <v>0</v>
      </c>
      <c r="F277" s="80">
        <f>Fluxo_de_Caixa_Janeiro345[[#This Row],[ABRIL]]</f>
        <v>0</v>
      </c>
      <c r="G277" s="80">
        <f>Fluxo_de_Caixa_Janeiro3459[[#This Row],[MAIO]]</f>
        <v>0</v>
      </c>
      <c r="H277" s="80">
        <f>Fluxo_de_Caixa_Janeiro345911[[#This Row],[JUNHO]]</f>
        <v>0</v>
      </c>
      <c r="I277" s="45">
        <f>Fluxo_de_Caixa_Janeiro3459117[[#This Row],[JULHO]]</f>
        <v>0</v>
      </c>
      <c r="J277" s="80">
        <f>Fluxo_de_Caixa_Janeiro345911710[[#This Row],[AGOSTO]]</f>
        <v>0</v>
      </c>
      <c r="K277" s="80">
        <f>Fluxo_de_Caixa_Janeiro34591171012[[#This Row],[SETEMBRO]]</f>
        <v>0</v>
      </c>
      <c r="L277" s="80">
        <f>Fluxo_de_Caixa_Janeiro3459117101215[[#This Row],[OUTUBRO]]</f>
        <v>0</v>
      </c>
      <c r="M277" s="80">
        <f>Fluxo_de_Caixa_Janeiro345911710121516[[#This Row],[NOVEMBRO]]</f>
        <v>0</v>
      </c>
      <c r="N277" s="134">
        <f>Fluxo_de_Caixa_Janeiro34591171012151619[[#This Row],[DEZEMBRO]]</f>
        <v>0</v>
      </c>
      <c r="O277" s="235">
        <f>SUM(Fluxo_de_Caixa_Janeiro31020818[[#This Row],[Janeiro]:[Dezembro]])</f>
        <v>0</v>
      </c>
      <c r="P277" s="26">
        <f t="shared" si="15"/>
        <v>0</v>
      </c>
      <c r="Q277" s="26"/>
      <c r="R277" s="32" t="str">
        <f>IF(Fluxo_de_Caixa_Janeiro31020818[[#This Row],[% ACUMULADO  ANO 2026]]&lt;=Fluxo_de_Caixa_Janeiro31020818[[#This Row],[Coluna1]],"VERDADEIRO","FALSO")</f>
        <v>VERDADEIRO</v>
      </c>
    </row>
    <row r="278" spans="2:18" hidden="1" x14ac:dyDescent="0.25">
      <c r="B278" s="270">
        <f>Fluxo_de_Caixa_Janeiro[[#This Row],[Fluxo de Caixa 2026 CTR]]</f>
        <v>0</v>
      </c>
      <c r="C278" s="45">
        <f>Fluxo_de_Caixa_Janeiro[[#This Row],[Janeiro]]</f>
        <v>0</v>
      </c>
      <c r="D278" s="80">
        <f>Fluxo_de_Caixa_Janeiro3[[#This Row],[Fevereiro]]</f>
        <v>0</v>
      </c>
      <c r="E278" s="80">
        <f>Fluxo_de_Caixa_Janeiro34[[#This Row],[Março]]</f>
        <v>0</v>
      </c>
      <c r="F278" s="80">
        <f>Fluxo_de_Caixa_Janeiro345[[#This Row],[ABRIL]]</f>
        <v>0</v>
      </c>
      <c r="G278" s="80">
        <f>Fluxo_de_Caixa_Janeiro3459[[#This Row],[MAIO]]</f>
        <v>0</v>
      </c>
      <c r="H278" s="80">
        <f>Fluxo_de_Caixa_Janeiro345911[[#This Row],[JUNHO]]</f>
        <v>0</v>
      </c>
      <c r="I278" s="45">
        <f>Fluxo_de_Caixa_Janeiro3459117[[#This Row],[JULHO]]</f>
        <v>0</v>
      </c>
      <c r="J278" s="80">
        <f>Fluxo_de_Caixa_Janeiro345911710[[#This Row],[AGOSTO]]</f>
        <v>0</v>
      </c>
      <c r="K278" s="80">
        <f>Fluxo_de_Caixa_Janeiro34591171012[[#This Row],[SETEMBRO]]</f>
        <v>0</v>
      </c>
      <c r="L278" s="80">
        <f>Fluxo_de_Caixa_Janeiro3459117101215[[#This Row],[OUTUBRO]]</f>
        <v>0</v>
      </c>
      <c r="M278" s="80">
        <f>Fluxo_de_Caixa_Janeiro345911710121516[[#This Row],[NOVEMBRO]]</f>
        <v>0</v>
      </c>
      <c r="N278" s="134">
        <f>Fluxo_de_Caixa_Janeiro34591171012151619[[#This Row],[DEZEMBRO]]</f>
        <v>0</v>
      </c>
      <c r="O278" s="235">
        <f>SUM(Fluxo_de_Caixa_Janeiro31020818[[#This Row],[Janeiro]:[Dezembro]])</f>
        <v>0</v>
      </c>
      <c r="P278" s="26">
        <f t="shared" si="15"/>
        <v>0</v>
      </c>
      <c r="Q278" s="26"/>
      <c r="R278" s="32" t="str">
        <f>IF(Fluxo_de_Caixa_Janeiro31020818[[#This Row],[% ACUMULADO  ANO 2026]]&lt;=Fluxo_de_Caixa_Janeiro31020818[[#This Row],[Coluna1]],"VERDADEIRO","FALSO")</f>
        <v>VERDADEIRO</v>
      </c>
    </row>
    <row r="279" spans="2:18" hidden="1" x14ac:dyDescent="0.25">
      <c r="B279" s="391">
        <f>Fluxo_de_Caixa_Janeiro[[#This Row],[Fluxo de Caixa 2026 CTR]]</f>
        <v>0</v>
      </c>
      <c r="C279" s="372">
        <f>Fluxo_de_Caixa_Janeiro[[#This Row],[Janeiro]]</f>
        <v>0</v>
      </c>
      <c r="D279" s="374">
        <f>Fluxo_de_Caixa_Janeiro3[[#This Row],[Fevereiro]]</f>
        <v>0</v>
      </c>
      <c r="E279" s="374">
        <f>Fluxo_de_Caixa_Janeiro34[[#This Row],[Março]]</f>
        <v>0</v>
      </c>
      <c r="F279" s="374">
        <f>Fluxo_de_Caixa_Janeiro345[[#This Row],[ABRIL]]</f>
        <v>0</v>
      </c>
      <c r="G279" s="374">
        <f>Fluxo_de_Caixa_Janeiro3459[[#This Row],[MAIO]]</f>
        <v>0</v>
      </c>
      <c r="H279" s="374">
        <f>Fluxo_de_Caixa_Janeiro345911[[#This Row],[JUNHO]]</f>
        <v>0</v>
      </c>
      <c r="I279" s="372">
        <f>Fluxo_de_Caixa_Janeiro3459117[[#This Row],[JULHO]]</f>
        <v>0</v>
      </c>
      <c r="J279" s="374">
        <f>Fluxo_de_Caixa_Janeiro345911710[[#This Row],[AGOSTO]]</f>
        <v>0</v>
      </c>
      <c r="K279" s="374">
        <f>Fluxo_de_Caixa_Janeiro34591171012[[#This Row],[SETEMBRO]]</f>
        <v>0</v>
      </c>
      <c r="L279" s="374">
        <f>Fluxo_de_Caixa_Janeiro3459117101215[[#This Row],[OUTUBRO]]</f>
        <v>0</v>
      </c>
      <c r="M279" s="374">
        <f>Fluxo_de_Caixa_Janeiro345911710121516[[#This Row],[NOVEMBRO]]</f>
        <v>0</v>
      </c>
      <c r="N279" s="376">
        <f>Fluxo_de_Caixa_Janeiro34591171012151619[[#This Row],[DEZEMBRO]]</f>
        <v>0</v>
      </c>
      <c r="O279" s="235">
        <f>SUM(Fluxo_de_Caixa_Janeiro31020818[[#This Row],[Janeiro]:[Dezembro]])</f>
        <v>0</v>
      </c>
      <c r="P279" s="26">
        <f t="shared" si="15"/>
        <v>0</v>
      </c>
      <c r="Q279" s="26"/>
      <c r="R279" s="32"/>
    </row>
    <row r="280" spans="2:18" hidden="1" x14ac:dyDescent="0.25">
      <c r="B280" s="392">
        <f>Fluxo_de_Caixa_Janeiro[[#This Row],[Fluxo de Caixa 2026 CTR]]</f>
        <v>0</v>
      </c>
      <c r="C280" s="372">
        <f>Fluxo_de_Caixa_Janeiro[[#This Row],[Janeiro]]</f>
        <v>0</v>
      </c>
      <c r="D280" s="374">
        <f>Fluxo_de_Caixa_Janeiro3[[#This Row],[Fevereiro]]</f>
        <v>0</v>
      </c>
      <c r="E280" s="374">
        <f>Fluxo_de_Caixa_Janeiro34[[#This Row],[Março]]</f>
        <v>0</v>
      </c>
      <c r="F280" s="374">
        <f>Fluxo_de_Caixa_Janeiro345[[#This Row],[ABRIL]]</f>
        <v>0</v>
      </c>
      <c r="G280" s="374">
        <f>Fluxo_de_Caixa_Janeiro3459[[#This Row],[MAIO]]</f>
        <v>0</v>
      </c>
      <c r="H280" s="374">
        <f>Fluxo_de_Caixa_Janeiro345911[[#This Row],[JUNHO]]</f>
        <v>0</v>
      </c>
      <c r="I280" s="372">
        <f>Fluxo_de_Caixa_Janeiro3459117[[#This Row],[JULHO]]</f>
        <v>0</v>
      </c>
      <c r="J280" s="374">
        <f>Fluxo_de_Caixa_Janeiro345911710[[#This Row],[AGOSTO]]</f>
        <v>0</v>
      </c>
      <c r="K280" s="374">
        <f>Fluxo_de_Caixa_Janeiro34591171012[[#This Row],[SETEMBRO]]</f>
        <v>0</v>
      </c>
      <c r="L280" s="374">
        <f>Fluxo_de_Caixa_Janeiro3459117101215[[#This Row],[OUTUBRO]]</f>
        <v>0</v>
      </c>
      <c r="M280" s="374">
        <f>Fluxo_de_Caixa_Janeiro345911710121516[[#This Row],[NOVEMBRO]]</f>
        <v>0</v>
      </c>
      <c r="N280" s="376">
        <f>Fluxo_de_Caixa_Janeiro34591171012151619[[#This Row],[DEZEMBRO]]</f>
        <v>0</v>
      </c>
      <c r="O280" s="235">
        <f>SUM(Fluxo_de_Caixa_Janeiro31020818[[#This Row],[Janeiro]:[Dezembro]])</f>
        <v>0</v>
      </c>
      <c r="P280" s="26">
        <f t="shared" si="15"/>
        <v>0</v>
      </c>
      <c r="Q280" s="26"/>
      <c r="R280" s="32"/>
    </row>
    <row r="281" spans="2:18" hidden="1" x14ac:dyDescent="0.25">
      <c r="B281" s="392">
        <f>Fluxo_de_Caixa_Janeiro[[#This Row],[Fluxo de Caixa 2026 CTR]]</f>
        <v>0</v>
      </c>
      <c r="C281" s="372">
        <f>Fluxo_de_Caixa_Janeiro[[#This Row],[Janeiro]]</f>
        <v>0</v>
      </c>
      <c r="D281" s="374">
        <f>Fluxo_de_Caixa_Janeiro3[[#This Row],[Fevereiro]]</f>
        <v>0</v>
      </c>
      <c r="E281" s="374">
        <f>Fluxo_de_Caixa_Janeiro34[[#This Row],[Março]]</f>
        <v>0</v>
      </c>
      <c r="F281" s="374">
        <f>Fluxo_de_Caixa_Janeiro345[[#This Row],[ABRIL]]</f>
        <v>0</v>
      </c>
      <c r="G281" s="374">
        <f>Fluxo_de_Caixa_Janeiro3459[[#This Row],[MAIO]]</f>
        <v>0</v>
      </c>
      <c r="H281" s="374">
        <f>Fluxo_de_Caixa_Janeiro345911[[#This Row],[JUNHO]]</f>
        <v>0</v>
      </c>
      <c r="I281" s="372">
        <f>Fluxo_de_Caixa_Janeiro3459117[[#This Row],[JULHO]]</f>
        <v>0</v>
      </c>
      <c r="J281" s="374">
        <f>Fluxo_de_Caixa_Janeiro345911710[[#This Row],[AGOSTO]]</f>
        <v>0</v>
      </c>
      <c r="K281" s="374">
        <f>Fluxo_de_Caixa_Janeiro34591171012[[#This Row],[SETEMBRO]]</f>
        <v>0</v>
      </c>
      <c r="L281" s="374">
        <f>Fluxo_de_Caixa_Janeiro3459117101215[[#This Row],[OUTUBRO]]</f>
        <v>0</v>
      </c>
      <c r="M281" s="374">
        <f>Fluxo_de_Caixa_Janeiro345911710121516[[#This Row],[NOVEMBRO]]</f>
        <v>0</v>
      </c>
      <c r="N281" s="376">
        <f>Fluxo_de_Caixa_Janeiro34591171012151619[[#This Row],[DEZEMBRO]]</f>
        <v>0</v>
      </c>
      <c r="O281" s="235">
        <f>SUM(Fluxo_de_Caixa_Janeiro31020818[[#This Row],[Janeiro]:[Dezembro]])</f>
        <v>0</v>
      </c>
      <c r="P281" s="26">
        <f t="shared" si="15"/>
        <v>0</v>
      </c>
      <c r="Q281" s="26"/>
      <c r="R281" s="32"/>
    </row>
    <row r="282" spans="2:18" hidden="1" x14ac:dyDescent="0.25">
      <c r="B282" s="392">
        <f>Fluxo_de_Caixa_Janeiro[[#This Row],[Fluxo de Caixa 2026 CTR]]</f>
        <v>0</v>
      </c>
      <c r="C282" s="372">
        <f>Fluxo_de_Caixa_Janeiro[[#This Row],[Janeiro]]</f>
        <v>0</v>
      </c>
      <c r="D282" s="374">
        <f>Fluxo_de_Caixa_Janeiro3[[#This Row],[Fevereiro]]</f>
        <v>0</v>
      </c>
      <c r="E282" s="374">
        <f>Fluxo_de_Caixa_Janeiro34[[#This Row],[Março]]</f>
        <v>0</v>
      </c>
      <c r="F282" s="374">
        <f>Fluxo_de_Caixa_Janeiro345[[#This Row],[ABRIL]]</f>
        <v>0</v>
      </c>
      <c r="G282" s="374">
        <f>Fluxo_de_Caixa_Janeiro3459[[#This Row],[MAIO]]</f>
        <v>0</v>
      </c>
      <c r="H282" s="374">
        <f>Fluxo_de_Caixa_Janeiro345911[[#This Row],[JUNHO]]</f>
        <v>0</v>
      </c>
      <c r="I282" s="372">
        <f>Fluxo_de_Caixa_Janeiro3459117[[#This Row],[JULHO]]</f>
        <v>0</v>
      </c>
      <c r="J282" s="374">
        <f>Fluxo_de_Caixa_Janeiro345911710[[#This Row],[AGOSTO]]</f>
        <v>0</v>
      </c>
      <c r="K282" s="374">
        <f>Fluxo_de_Caixa_Janeiro34591171012[[#This Row],[SETEMBRO]]</f>
        <v>0</v>
      </c>
      <c r="L282" s="374">
        <f>Fluxo_de_Caixa_Janeiro3459117101215[[#This Row],[OUTUBRO]]</f>
        <v>0</v>
      </c>
      <c r="M282" s="374">
        <f>Fluxo_de_Caixa_Janeiro345911710121516[[#This Row],[NOVEMBRO]]</f>
        <v>0</v>
      </c>
      <c r="N282" s="376">
        <f>Fluxo_de_Caixa_Janeiro34591171012151619[[#This Row],[DEZEMBRO]]</f>
        <v>0</v>
      </c>
      <c r="O282" s="235">
        <f>SUM(Fluxo_de_Caixa_Janeiro31020818[[#This Row],[Janeiro]:[Dezembro]])</f>
        <v>0</v>
      </c>
      <c r="P282" s="26">
        <f t="shared" si="15"/>
        <v>0</v>
      </c>
      <c r="Q282" s="26"/>
      <c r="R282" s="32"/>
    </row>
    <row r="283" spans="2:18" hidden="1" x14ac:dyDescent="0.25">
      <c r="B283" s="392">
        <f>Fluxo_de_Caixa_Janeiro[[#This Row],[Fluxo de Caixa 2026 CTR]]</f>
        <v>0</v>
      </c>
      <c r="C283" s="372">
        <f>Fluxo_de_Caixa_Janeiro[[#This Row],[Janeiro]]</f>
        <v>0</v>
      </c>
      <c r="D283" s="374">
        <f>Fluxo_de_Caixa_Janeiro3[[#This Row],[Fevereiro]]</f>
        <v>0</v>
      </c>
      <c r="E283" s="374">
        <f>Fluxo_de_Caixa_Janeiro34[[#This Row],[Março]]</f>
        <v>0</v>
      </c>
      <c r="F283" s="374">
        <f>Fluxo_de_Caixa_Janeiro345[[#This Row],[ABRIL]]</f>
        <v>0</v>
      </c>
      <c r="G283" s="374">
        <f>Fluxo_de_Caixa_Janeiro3459[[#This Row],[MAIO]]</f>
        <v>0</v>
      </c>
      <c r="H283" s="374">
        <f>Fluxo_de_Caixa_Janeiro345911[[#This Row],[JUNHO]]</f>
        <v>0</v>
      </c>
      <c r="I283" s="372">
        <f>Fluxo_de_Caixa_Janeiro3459117[[#This Row],[JULHO]]</f>
        <v>0</v>
      </c>
      <c r="J283" s="374">
        <f>Fluxo_de_Caixa_Janeiro345911710[[#This Row],[AGOSTO]]</f>
        <v>0</v>
      </c>
      <c r="K283" s="374">
        <f>Fluxo_de_Caixa_Janeiro34591171012[[#This Row],[SETEMBRO]]</f>
        <v>0</v>
      </c>
      <c r="L283" s="374">
        <f>Fluxo_de_Caixa_Janeiro3459117101215[[#This Row],[OUTUBRO]]</f>
        <v>0</v>
      </c>
      <c r="M283" s="374">
        <f>Fluxo_de_Caixa_Janeiro345911710121516[[#This Row],[NOVEMBRO]]</f>
        <v>0</v>
      </c>
      <c r="N283" s="376">
        <f>Fluxo_de_Caixa_Janeiro34591171012151619[[#This Row],[DEZEMBRO]]</f>
        <v>0</v>
      </c>
      <c r="O283" s="235">
        <f>SUM(Fluxo_de_Caixa_Janeiro31020818[[#This Row],[Janeiro]:[Dezembro]])</f>
        <v>0</v>
      </c>
      <c r="P283" s="26">
        <f t="shared" si="15"/>
        <v>0</v>
      </c>
      <c r="Q283" s="26"/>
      <c r="R283" s="32"/>
    </row>
    <row r="284" spans="2:18" hidden="1" x14ac:dyDescent="0.25">
      <c r="B284" s="392">
        <f>Fluxo_de_Caixa_Janeiro[[#This Row],[Fluxo de Caixa 2026 CTR]]</f>
        <v>0</v>
      </c>
      <c r="C284" s="372">
        <f>Fluxo_de_Caixa_Janeiro[[#This Row],[Janeiro]]</f>
        <v>0</v>
      </c>
      <c r="D284" s="374">
        <f>Fluxo_de_Caixa_Janeiro3[[#This Row],[Fevereiro]]</f>
        <v>0</v>
      </c>
      <c r="E284" s="374">
        <f>Fluxo_de_Caixa_Janeiro34[[#This Row],[Março]]</f>
        <v>0</v>
      </c>
      <c r="F284" s="374">
        <f>Fluxo_de_Caixa_Janeiro345[[#This Row],[ABRIL]]</f>
        <v>0</v>
      </c>
      <c r="G284" s="374">
        <f>Fluxo_de_Caixa_Janeiro3459[[#This Row],[MAIO]]</f>
        <v>0</v>
      </c>
      <c r="H284" s="374">
        <f>Fluxo_de_Caixa_Janeiro345911[[#This Row],[JUNHO]]</f>
        <v>0</v>
      </c>
      <c r="I284" s="372">
        <f>Fluxo_de_Caixa_Janeiro3459117[[#This Row],[JULHO]]</f>
        <v>0</v>
      </c>
      <c r="J284" s="374">
        <f>Fluxo_de_Caixa_Janeiro345911710[[#This Row],[AGOSTO]]</f>
        <v>0</v>
      </c>
      <c r="K284" s="374">
        <f>Fluxo_de_Caixa_Janeiro34591171012[[#This Row],[SETEMBRO]]</f>
        <v>0</v>
      </c>
      <c r="L284" s="374">
        <f>Fluxo_de_Caixa_Janeiro3459117101215[[#This Row],[OUTUBRO]]</f>
        <v>0</v>
      </c>
      <c r="M284" s="374">
        <f>Fluxo_de_Caixa_Janeiro345911710121516[[#This Row],[NOVEMBRO]]</f>
        <v>0</v>
      </c>
      <c r="N284" s="376">
        <f>Fluxo_de_Caixa_Janeiro34591171012151619[[#This Row],[DEZEMBRO]]</f>
        <v>0</v>
      </c>
      <c r="O284" s="235">
        <f>SUM(Fluxo_de_Caixa_Janeiro31020818[[#This Row],[Janeiro]:[Dezembro]])</f>
        <v>0</v>
      </c>
      <c r="P284" s="26">
        <f t="shared" si="15"/>
        <v>0</v>
      </c>
      <c r="Q284" s="26"/>
      <c r="R284" s="32"/>
    </row>
    <row r="285" spans="2:18" hidden="1" x14ac:dyDescent="0.25">
      <c r="B285" s="392">
        <f>Fluxo_de_Caixa_Janeiro[[#This Row],[Fluxo de Caixa 2026 CTR]]</f>
        <v>0</v>
      </c>
      <c r="C285" s="372">
        <f>Fluxo_de_Caixa_Janeiro[[#This Row],[Janeiro]]</f>
        <v>0</v>
      </c>
      <c r="D285" s="374">
        <f>Fluxo_de_Caixa_Janeiro3[[#This Row],[Fevereiro]]</f>
        <v>0</v>
      </c>
      <c r="E285" s="374">
        <f>Fluxo_de_Caixa_Janeiro34[[#This Row],[Março]]</f>
        <v>0</v>
      </c>
      <c r="F285" s="374">
        <f>Fluxo_de_Caixa_Janeiro345[[#This Row],[ABRIL]]</f>
        <v>0</v>
      </c>
      <c r="G285" s="374">
        <f>Fluxo_de_Caixa_Janeiro3459[[#This Row],[MAIO]]</f>
        <v>0</v>
      </c>
      <c r="H285" s="374">
        <f>Fluxo_de_Caixa_Janeiro345911[[#This Row],[JUNHO]]</f>
        <v>0</v>
      </c>
      <c r="I285" s="372">
        <f>Fluxo_de_Caixa_Janeiro3459117[[#This Row],[JULHO]]</f>
        <v>0</v>
      </c>
      <c r="J285" s="374">
        <f>Fluxo_de_Caixa_Janeiro345911710[[#This Row],[AGOSTO]]</f>
        <v>0</v>
      </c>
      <c r="K285" s="374">
        <f>Fluxo_de_Caixa_Janeiro34591171012[[#This Row],[SETEMBRO]]</f>
        <v>0</v>
      </c>
      <c r="L285" s="374">
        <f>Fluxo_de_Caixa_Janeiro3459117101215[[#This Row],[OUTUBRO]]</f>
        <v>0</v>
      </c>
      <c r="M285" s="374">
        <f>Fluxo_de_Caixa_Janeiro345911710121516[[#This Row],[NOVEMBRO]]</f>
        <v>0</v>
      </c>
      <c r="N285" s="376">
        <f>Fluxo_de_Caixa_Janeiro34591171012151619[[#This Row],[DEZEMBRO]]</f>
        <v>0</v>
      </c>
      <c r="O285" s="235">
        <f>SUM(Fluxo_de_Caixa_Janeiro31020818[[#This Row],[Janeiro]:[Dezembro]])</f>
        <v>0</v>
      </c>
      <c r="P285" s="26">
        <f t="shared" si="15"/>
        <v>0</v>
      </c>
      <c r="Q285" s="26"/>
      <c r="R285" s="32"/>
    </row>
    <row r="286" spans="2:18" hidden="1" x14ac:dyDescent="0.25">
      <c r="B286" s="392">
        <f>Fluxo_de_Caixa_Janeiro[[#This Row],[Fluxo de Caixa 2026 CTR]]</f>
        <v>0</v>
      </c>
      <c r="C286" s="372">
        <f>Fluxo_de_Caixa_Janeiro[[#This Row],[Janeiro]]</f>
        <v>0</v>
      </c>
      <c r="D286" s="374">
        <f>Fluxo_de_Caixa_Janeiro3[[#This Row],[Fevereiro]]</f>
        <v>0</v>
      </c>
      <c r="E286" s="374">
        <f>Fluxo_de_Caixa_Janeiro34[[#This Row],[Março]]</f>
        <v>0</v>
      </c>
      <c r="F286" s="374">
        <f>Fluxo_de_Caixa_Janeiro345[[#This Row],[ABRIL]]</f>
        <v>0</v>
      </c>
      <c r="G286" s="374">
        <f>Fluxo_de_Caixa_Janeiro3459[[#This Row],[MAIO]]</f>
        <v>0</v>
      </c>
      <c r="H286" s="374">
        <f>Fluxo_de_Caixa_Janeiro345911[[#This Row],[JUNHO]]</f>
        <v>0</v>
      </c>
      <c r="I286" s="372">
        <f>Fluxo_de_Caixa_Janeiro3459117[[#This Row],[JULHO]]</f>
        <v>0</v>
      </c>
      <c r="J286" s="374">
        <f>Fluxo_de_Caixa_Janeiro345911710[[#This Row],[AGOSTO]]</f>
        <v>0</v>
      </c>
      <c r="K286" s="374">
        <f>Fluxo_de_Caixa_Janeiro34591171012[[#This Row],[SETEMBRO]]</f>
        <v>0</v>
      </c>
      <c r="L286" s="374">
        <f>Fluxo_de_Caixa_Janeiro3459117101215[[#This Row],[OUTUBRO]]</f>
        <v>0</v>
      </c>
      <c r="M286" s="374">
        <f>Fluxo_de_Caixa_Janeiro345911710121516[[#This Row],[NOVEMBRO]]</f>
        <v>0</v>
      </c>
      <c r="N286" s="376">
        <f>Fluxo_de_Caixa_Janeiro34591171012151619[[#This Row],[DEZEMBRO]]</f>
        <v>0</v>
      </c>
      <c r="O286" s="235">
        <f>SUM(Fluxo_de_Caixa_Janeiro31020818[[#This Row],[Janeiro]:[Dezembro]])</f>
        <v>0</v>
      </c>
      <c r="P286" s="26">
        <f t="shared" si="15"/>
        <v>0</v>
      </c>
      <c r="Q286" s="26"/>
      <c r="R286" s="32"/>
    </row>
    <row r="287" spans="2:18" hidden="1" x14ac:dyDescent="0.25">
      <c r="B287" s="391">
        <f>Fluxo_de_Caixa_Janeiro[[#This Row],[Fluxo de Caixa 2026 CTR]]</f>
        <v>0</v>
      </c>
      <c r="C287" s="372">
        <f>Fluxo_de_Caixa_Janeiro[[#This Row],[Janeiro]]</f>
        <v>0</v>
      </c>
      <c r="D287" s="374">
        <f>Fluxo_de_Caixa_Janeiro3[[#This Row],[Fevereiro]]</f>
        <v>0</v>
      </c>
      <c r="E287" s="374">
        <f>Fluxo_de_Caixa_Janeiro34[[#This Row],[Março]]</f>
        <v>0</v>
      </c>
      <c r="F287" s="374">
        <f>Fluxo_de_Caixa_Janeiro345[[#This Row],[ABRIL]]</f>
        <v>0</v>
      </c>
      <c r="G287" s="374">
        <f>Fluxo_de_Caixa_Janeiro3459[[#This Row],[MAIO]]</f>
        <v>0</v>
      </c>
      <c r="H287" s="374">
        <f>Fluxo_de_Caixa_Janeiro345911[[#This Row],[JUNHO]]</f>
        <v>0</v>
      </c>
      <c r="I287" s="372">
        <f>Fluxo_de_Caixa_Janeiro3459117[[#This Row],[JULHO]]</f>
        <v>0</v>
      </c>
      <c r="J287" s="374">
        <f>Fluxo_de_Caixa_Janeiro345911710[[#This Row],[AGOSTO]]</f>
        <v>0</v>
      </c>
      <c r="K287" s="374">
        <f>Fluxo_de_Caixa_Janeiro34591171012[[#This Row],[SETEMBRO]]</f>
        <v>0</v>
      </c>
      <c r="L287" s="374">
        <f>Fluxo_de_Caixa_Janeiro3459117101215[[#This Row],[OUTUBRO]]</f>
        <v>0</v>
      </c>
      <c r="M287" s="374">
        <f>Fluxo_de_Caixa_Janeiro345911710121516[[#This Row],[NOVEMBRO]]</f>
        <v>0</v>
      </c>
      <c r="N287" s="376">
        <f>Fluxo_de_Caixa_Janeiro34591171012151619[[#This Row],[DEZEMBRO]]</f>
        <v>0</v>
      </c>
      <c r="O287" s="235">
        <f>SUM(Fluxo_de_Caixa_Janeiro31020818[[#This Row],[Janeiro]:[Dezembro]])</f>
        <v>0</v>
      </c>
      <c r="P287" s="26">
        <f t="shared" si="15"/>
        <v>0</v>
      </c>
      <c r="Q287" s="26"/>
      <c r="R287" s="32"/>
    </row>
    <row r="288" spans="2:18" hidden="1" x14ac:dyDescent="0.25">
      <c r="B288" s="391">
        <f>Fluxo_de_Caixa_Janeiro[[#This Row],[Fluxo de Caixa 2026 CTR]]</f>
        <v>0</v>
      </c>
      <c r="C288" s="373">
        <f>Fluxo_de_Caixa_Janeiro[[#This Row],[Janeiro]]</f>
        <v>0</v>
      </c>
      <c r="D288" s="375">
        <f>Fluxo_de_Caixa_Janeiro3[[#This Row],[Fevereiro]]</f>
        <v>0</v>
      </c>
      <c r="E288" s="375">
        <f>Fluxo_de_Caixa_Janeiro34[[#This Row],[Março]]</f>
        <v>0</v>
      </c>
      <c r="F288" s="375">
        <f>Fluxo_de_Caixa_Janeiro345[[#This Row],[ABRIL]]</f>
        <v>0</v>
      </c>
      <c r="G288" s="375">
        <f>Fluxo_de_Caixa_Janeiro3459[[#This Row],[MAIO]]</f>
        <v>0</v>
      </c>
      <c r="H288" s="375">
        <f>Fluxo_de_Caixa_Janeiro345911[[#This Row],[JUNHO]]</f>
        <v>0</v>
      </c>
      <c r="I288" s="373">
        <f>Fluxo_de_Caixa_Janeiro3459117[[#This Row],[JULHO]]</f>
        <v>0</v>
      </c>
      <c r="J288" s="375">
        <f>Fluxo_de_Caixa_Janeiro345911710[[#This Row],[AGOSTO]]</f>
        <v>0</v>
      </c>
      <c r="K288" s="375">
        <f>Fluxo_de_Caixa_Janeiro34591171012[[#This Row],[SETEMBRO]]</f>
        <v>0</v>
      </c>
      <c r="L288" s="375">
        <f>Fluxo_de_Caixa_Janeiro3459117101215[[#This Row],[OUTUBRO]]</f>
        <v>0</v>
      </c>
      <c r="M288" s="375">
        <f>Fluxo_de_Caixa_Janeiro345911710121516[[#This Row],[NOVEMBRO]]</f>
        <v>0</v>
      </c>
      <c r="N288" s="377">
        <f>Fluxo_de_Caixa_Janeiro34591171012151619[[#This Row],[DEZEMBRO]]</f>
        <v>0</v>
      </c>
      <c r="O288" s="235">
        <f>SUM(Fluxo_de_Caixa_Janeiro31020818[[#This Row],[Janeiro]:[Dezembro]])</f>
        <v>0</v>
      </c>
      <c r="P288" s="26">
        <f t="shared" si="15"/>
        <v>0</v>
      </c>
      <c r="Q288" s="26"/>
      <c r="R288" s="32"/>
    </row>
    <row r="289" spans="2:18" hidden="1" x14ac:dyDescent="0.25">
      <c r="B289" s="392">
        <f>Fluxo_de_Caixa_Janeiro[[#This Row],[Fluxo de Caixa 2026 CTR]]</f>
        <v>0</v>
      </c>
      <c r="C289" s="372">
        <f>Fluxo_de_Caixa_Janeiro[[#This Row],[Janeiro]]</f>
        <v>0</v>
      </c>
      <c r="D289" s="374">
        <f>Fluxo_de_Caixa_Janeiro3[[#This Row],[Fevereiro]]</f>
        <v>0</v>
      </c>
      <c r="E289" s="374">
        <f>Fluxo_de_Caixa_Janeiro34[[#This Row],[Março]]</f>
        <v>0</v>
      </c>
      <c r="F289" s="374">
        <f>Fluxo_de_Caixa_Janeiro345[[#This Row],[ABRIL]]</f>
        <v>0</v>
      </c>
      <c r="G289" s="374">
        <f>Fluxo_de_Caixa_Janeiro3459[[#This Row],[MAIO]]</f>
        <v>0</v>
      </c>
      <c r="H289" s="374">
        <f>Fluxo_de_Caixa_Janeiro345911[[#This Row],[JUNHO]]</f>
        <v>0</v>
      </c>
      <c r="I289" s="372">
        <f>Fluxo_de_Caixa_Janeiro3459117[[#This Row],[JULHO]]</f>
        <v>0</v>
      </c>
      <c r="J289" s="374">
        <f>Fluxo_de_Caixa_Janeiro345911710[[#This Row],[AGOSTO]]</f>
        <v>0</v>
      </c>
      <c r="K289" s="374">
        <f>Fluxo_de_Caixa_Janeiro34591171012[[#This Row],[SETEMBRO]]</f>
        <v>0</v>
      </c>
      <c r="L289" s="374">
        <f>Fluxo_de_Caixa_Janeiro3459117101215[[#This Row],[OUTUBRO]]</f>
        <v>0</v>
      </c>
      <c r="M289" s="374">
        <f>Fluxo_de_Caixa_Janeiro345911710121516[[#This Row],[NOVEMBRO]]</f>
        <v>0</v>
      </c>
      <c r="N289" s="376">
        <f>Fluxo_de_Caixa_Janeiro34591171012151619[[#This Row],[DEZEMBRO]]</f>
        <v>0</v>
      </c>
      <c r="O289" s="235">
        <f>SUM(Fluxo_de_Caixa_Janeiro31020818[[#This Row],[Janeiro]:[Dezembro]])</f>
        <v>0</v>
      </c>
      <c r="P289" s="26">
        <f t="shared" si="15"/>
        <v>0</v>
      </c>
      <c r="Q289" s="26"/>
      <c r="R289" s="32"/>
    </row>
    <row r="290" spans="2:18" hidden="1" x14ac:dyDescent="0.25">
      <c r="B290" s="392">
        <f>Fluxo_de_Caixa_Janeiro[[#This Row],[Fluxo de Caixa 2026 CTR]]</f>
        <v>0</v>
      </c>
      <c r="C290" s="373">
        <f>Fluxo_de_Caixa_Janeiro[[#This Row],[Janeiro]]</f>
        <v>0</v>
      </c>
      <c r="D290" s="375">
        <f>Fluxo_de_Caixa_Janeiro3[[#This Row],[Fevereiro]]</f>
        <v>0</v>
      </c>
      <c r="E290" s="375">
        <f>Fluxo_de_Caixa_Janeiro34[[#This Row],[Março]]</f>
        <v>0</v>
      </c>
      <c r="F290" s="375">
        <f>Fluxo_de_Caixa_Janeiro345[[#This Row],[ABRIL]]</f>
        <v>0</v>
      </c>
      <c r="G290" s="375">
        <f>Fluxo_de_Caixa_Janeiro3459[[#This Row],[MAIO]]</f>
        <v>0</v>
      </c>
      <c r="H290" s="375">
        <f>Fluxo_de_Caixa_Janeiro345911[[#This Row],[JUNHO]]</f>
        <v>0</v>
      </c>
      <c r="I290" s="373">
        <f>Fluxo_de_Caixa_Janeiro3459117[[#This Row],[JULHO]]</f>
        <v>0</v>
      </c>
      <c r="J290" s="375">
        <f>Fluxo_de_Caixa_Janeiro345911710[[#This Row],[AGOSTO]]</f>
        <v>0</v>
      </c>
      <c r="K290" s="375">
        <f>Fluxo_de_Caixa_Janeiro34591171012[[#This Row],[SETEMBRO]]</f>
        <v>0</v>
      </c>
      <c r="L290" s="375">
        <f>Fluxo_de_Caixa_Janeiro3459117101215[[#This Row],[OUTUBRO]]</f>
        <v>0</v>
      </c>
      <c r="M290" s="375">
        <f>Fluxo_de_Caixa_Janeiro345911710121516[[#This Row],[NOVEMBRO]]</f>
        <v>0</v>
      </c>
      <c r="N290" s="377">
        <f>Fluxo_de_Caixa_Janeiro34591171012151619[[#This Row],[DEZEMBRO]]</f>
        <v>0</v>
      </c>
      <c r="O290" s="235">
        <f>SUM(Fluxo_de_Caixa_Janeiro31020818[[#This Row],[Janeiro]:[Dezembro]])</f>
        <v>0</v>
      </c>
      <c r="P290" s="26">
        <f>-IFERROR(O290/$O$332,"0,00")</f>
        <v>0</v>
      </c>
      <c r="Q290" s="26"/>
      <c r="R290" s="32"/>
    </row>
    <row r="291" spans="2:18" hidden="1" x14ac:dyDescent="0.25">
      <c r="B291" s="270">
        <f>Fluxo_de_Caixa_Janeiro[[#This Row],[Fluxo de Caixa 2026 CTR]]</f>
        <v>0</v>
      </c>
      <c r="C291" s="45">
        <f>Fluxo_de_Caixa_Janeiro[[#This Row],[Janeiro]]</f>
        <v>0</v>
      </c>
      <c r="D291" s="80">
        <f>Fluxo_de_Caixa_Janeiro3[[#This Row],[Fevereiro]]</f>
        <v>0</v>
      </c>
      <c r="E291" s="80">
        <f>Fluxo_de_Caixa_Janeiro34[[#This Row],[Março]]</f>
        <v>0</v>
      </c>
      <c r="F291" s="80">
        <f>Fluxo_de_Caixa_Janeiro345[[#This Row],[ABRIL]]</f>
        <v>0</v>
      </c>
      <c r="G291" s="80">
        <f>Fluxo_de_Caixa_Janeiro3459[[#This Row],[MAIO]]</f>
        <v>0</v>
      </c>
      <c r="H291" s="80">
        <f>Fluxo_de_Caixa_Janeiro345911[[#This Row],[JUNHO]]</f>
        <v>0</v>
      </c>
      <c r="I291" s="45">
        <f>Fluxo_de_Caixa_Janeiro3459117[[#This Row],[JULHO]]</f>
        <v>0</v>
      </c>
      <c r="J291" s="80">
        <f>Fluxo_de_Caixa_Janeiro345911710[[#This Row],[AGOSTO]]</f>
        <v>0</v>
      </c>
      <c r="K291" s="80">
        <f>Fluxo_de_Caixa_Janeiro34591171012[[#This Row],[SETEMBRO]]</f>
        <v>0</v>
      </c>
      <c r="L291" s="80">
        <f>Fluxo_de_Caixa_Janeiro3459117101215[[#This Row],[OUTUBRO]]</f>
        <v>0</v>
      </c>
      <c r="M291" s="80">
        <f>Fluxo_de_Caixa_Janeiro345911710121516[[#This Row],[NOVEMBRO]]</f>
        <v>0</v>
      </c>
      <c r="N291" s="134">
        <f>Fluxo_de_Caixa_Janeiro34591171012151619[[#This Row],[DEZEMBRO]]</f>
        <v>0</v>
      </c>
      <c r="O291" s="235">
        <f>SUM(Fluxo_de_Caixa_Janeiro31020818[[#This Row],[Janeiro]:[Dezembro]])</f>
        <v>0</v>
      </c>
      <c r="P291" s="26">
        <f>-IFERROR(O291/$O$332,"0,00")</f>
        <v>0</v>
      </c>
      <c r="Q291" s="26"/>
      <c r="R291" s="32" t="str">
        <f>IF(Fluxo_de_Caixa_Janeiro31020818[[#This Row],[% ACUMULADO  ANO 2026]]&lt;=Fluxo_de_Caixa_Janeiro31020818[[#This Row],[Coluna1]],"VERDADEIRO","FALSO")</f>
        <v>VERDADEIRO</v>
      </c>
    </row>
    <row r="292" spans="2:18" hidden="1" x14ac:dyDescent="0.25">
      <c r="B292" s="270">
        <f>Fluxo_de_Caixa_Janeiro[[#This Row],[Fluxo de Caixa 2026 CTR]]</f>
        <v>0</v>
      </c>
      <c r="C292" s="45">
        <f>Fluxo_de_Caixa_Janeiro[[#This Row],[Janeiro]]</f>
        <v>0</v>
      </c>
      <c r="D292" s="80">
        <f>Fluxo_de_Caixa_Janeiro3[[#This Row],[Fevereiro]]</f>
        <v>0</v>
      </c>
      <c r="E292" s="80">
        <f>Fluxo_de_Caixa_Janeiro34[[#This Row],[Março]]</f>
        <v>0</v>
      </c>
      <c r="F292" s="80">
        <f>Fluxo_de_Caixa_Janeiro345[[#This Row],[ABRIL]]</f>
        <v>0</v>
      </c>
      <c r="G292" s="80">
        <f>Fluxo_de_Caixa_Janeiro3459[[#This Row],[MAIO]]</f>
        <v>0</v>
      </c>
      <c r="H292" s="80">
        <f>Fluxo_de_Caixa_Janeiro345911[[#This Row],[JUNHO]]</f>
        <v>0</v>
      </c>
      <c r="I292" s="45">
        <f>Fluxo_de_Caixa_Janeiro3459117[[#This Row],[JULHO]]</f>
        <v>0</v>
      </c>
      <c r="J292" s="80">
        <f>Fluxo_de_Caixa_Janeiro345911710[[#This Row],[AGOSTO]]</f>
        <v>0</v>
      </c>
      <c r="K292" s="80">
        <f>Fluxo_de_Caixa_Janeiro34591171012[[#This Row],[SETEMBRO]]</f>
        <v>0</v>
      </c>
      <c r="L292" s="80">
        <f>Fluxo_de_Caixa_Janeiro3459117101215[[#This Row],[OUTUBRO]]</f>
        <v>0</v>
      </c>
      <c r="M292" s="80">
        <f>Fluxo_de_Caixa_Janeiro345911710121516[[#This Row],[NOVEMBRO]]</f>
        <v>0</v>
      </c>
      <c r="N292" s="134">
        <f>Fluxo_de_Caixa_Janeiro34591171012151619[[#This Row],[DEZEMBRO]]</f>
        <v>0</v>
      </c>
      <c r="O292" s="235">
        <f>SUM(Fluxo_de_Caixa_Janeiro31020818[[#This Row],[Janeiro]:[Dezembro]])</f>
        <v>0</v>
      </c>
      <c r="P292" s="26">
        <f>-IFERROR(O292/$O$332,"0,00")</f>
        <v>0</v>
      </c>
      <c r="Q292" s="26"/>
      <c r="R292" s="32" t="str">
        <f>IF(Fluxo_de_Caixa_Janeiro31020818[[#This Row],[% ACUMULADO  ANO 2026]]&lt;=Fluxo_de_Caixa_Janeiro31020818[[#This Row],[Coluna1]],"VERDADEIRO","FALSO")</f>
        <v>VERDADEIRO</v>
      </c>
    </row>
    <row r="293" spans="2:18" ht="15.75" hidden="1" thickBot="1" x14ac:dyDescent="0.3">
      <c r="B293" s="280">
        <f>Fluxo_de_Caixa_Janeiro[[#This Row],[Fluxo de Caixa 2026 CTR]]</f>
        <v>0</v>
      </c>
      <c r="C293" s="163">
        <f>Fluxo_de_Caixa_Janeiro[[#This Row],[Janeiro]]</f>
        <v>0</v>
      </c>
      <c r="D293" s="106">
        <f>Fluxo_de_Caixa_Janeiro3[[#This Row],[Fevereiro]]</f>
        <v>0</v>
      </c>
      <c r="E293" s="106">
        <f>Fluxo_de_Caixa_Janeiro34[[#This Row],[Março]]</f>
        <v>0</v>
      </c>
      <c r="F293" s="106">
        <f>Fluxo_de_Caixa_Janeiro345[[#This Row],[ABRIL]]</f>
        <v>0</v>
      </c>
      <c r="G293" s="106">
        <f>Fluxo_de_Caixa_Janeiro3459[[#This Row],[MAIO]]</f>
        <v>0</v>
      </c>
      <c r="H293" s="106">
        <f>Fluxo_de_Caixa_Janeiro345911[[#This Row],[JUNHO]]</f>
        <v>0</v>
      </c>
      <c r="I293" s="163">
        <f>Fluxo_de_Caixa_Janeiro3459117[[#This Row],[JULHO]]</f>
        <v>0</v>
      </c>
      <c r="J293" s="106">
        <f>Fluxo_de_Caixa_Janeiro345911710[[#This Row],[AGOSTO]]</f>
        <v>0</v>
      </c>
      <c r="K293" s="106">
        <f>Fluxo_de_Caixa_Janeiro34591171012[[#This Row],[SETEMBRO]]</f>
        <v>0</v>
      </c>
      <c r="L293" s="106">
        <f>Fluxo_de_Caixa_Janeiro3459117101215[[#This Row],[OUTUBRO]]</f>
        <v>0</v>
      </c>
      <c r="M293" s="106">
        <f>Fluxo_de_Caixa_Janeiro345911710121516[[#This Row],[NOVEMBRO]]</f>
        <v>0</v>
      </c>
      <c r="N293" s="135">
        <f>Fluxo_de_Caixa_Janeiro34591171012151619[[#This Row],[DEZEMBRO]]</f>
        <v>0</v>
      </c>
      <c r="O293" s="236">
        <f>SUM(Fluxo_de_Caixa_Janeiro31020818[[#This Row],[Janeiro]:[Dezembro]])</f>
        <v>0</v>
      </c>
      <c r="P293" s="148">
        <f>-IFERROR(O293/$O$332,"0,00")</f>
        <v>0</v>
      </c>
      <c r="Q293" s="148"/>
      <c r="R293" s="32" t="str">
        <f>IF(Fluxo_de_Caixa_Janeiro31020818[[#This Row],[% ACUMULADO  ANO 2026]]&lt;=Fluxo_de_Caixa_Janeiro31020818[[#This Row],[Coluna1]],"VERDADEIRO","FALSO")</f>
        <v>VERDADEIRO</v>
      </c>
    </row>
    <row r="294" spans="2:18" ht="19.5" thickBot="1" x14ac:dyDescent="0.35">
      <c r="B294" s="168" t="str">
        <f>Fluxo_de_Caixa_Janeiro[[#This Row],[Fluxo de Caixa 2026 CTR]]</f>
        <v>5.2 DESPESA COM INVESTIMENTO</v>
      </c>
      <c r="C294" s="158">
        <f>Fluxo_de_Caixa_Janeiro[[#This Row],[Janeiro]]</f>
        <v>-12574.220000000001</v>
      </c>
      <c r="D294" s="97">
        <f>Fluxo_de_Caixa_Janeiro3[[#This Row],[Fevereiro]]</f>
        <v>-108972.08</v>
      </c>
      <c r="E294" s="97">
        <f>Fluxo_de_Caixa_Janeiro34[[#This Row],[Março]]</f>
        <v>-404188.3</v>
      </c>
      <c r="F294" s="97">
        <f>Fluxo_de_Caixa_Janeiro345[[#This Row],[ABRIL]]</f>
        <v>-224157.98</v>
      </c>
      <c r="G294" s="97">
        <f>Fluxo_de_Caixa_Janeiro3459[[#This Row],[MAIO]]</f>
        <v>-6695.82</v>
      </c>
      <c r="H294" s="97">
        <f>Fluxo_de_Caixa_Janeiro345911[[#This Row],[JUNHO]]</f>
        <v>0</v>
      </c>
      <c r="I294" s="158">
        <f>Fluxo_de_Caixa_Janeiro3459117[[#This Row],[JULHO]]</f>
        <v>0</v>
      </c>
      <c r="J294" s="97">
        <f>Fluxo_de_Caixa_Janeiro345911710[[#This Row],[AGOSTO]]</f>
        <v>0</v>
      </c>
      <c r="K294" s="97">
        <f>Fluxo_de_Caixa_Janeiro34591171012[[#This Row],[SETEMBRO]]</f>
        <v>0</v>
      </c>
      <c r="L294" s="97">
        <f>Fluxo_de_Caixa_Janeiro3459117101215[[#This Row],[OUTUBRO]]</f>
        <v>0</v>
      </c>
      <c r="M294" s="97">
        <f>Fluxo_de_Caixa_Janeiro345911710121516[[#This Row],[NOVEMBRO]]</f>
        <v>0</v>
      </c>
      <c r="N294" s="129">
        <f>Fluxo_de_Caixa_Janeiro34591171012151619[[#This Row],[DEZEMBRO]]</f>
        <v>0</v>
      </c>
      <c r="O294" s="226">
        <f>SUM(Fluxo_de_Caixa_Janeiro31020818[[#This Row],[Janeiro]:[Dezembro]])</f>
        <v>-756588.39999999991</v>
      </c>
      <c r="P294" s="144">
        <f>-IFERROR(O294/$O$332,"0,00")</f>
        <v>0.13836302148946364</v>
      </c>
      <c r="Q294" s="144"/>
      <c r="R294" s="32" t="str">
        <f>IF(Fluxo_de_Caixa_Janeiro31020818[[#This Row],[% ACUMULADO  ANO 2026]]&lt;=Fluxo_de_Caixa_Janeiro31020818[[#This Row],[Coluna1]],"VERDADEIRO","FALSO")</f>
        <v>FALSO</v>
      </c>
    </row>
    <row r="295" spans="2:18" x14ac:dyDescent="0.25">
      <c r="B295" s="270" t="str">
        <f>Fluxo_de_Caixa_Janeiro[[#This Row],[Fluxo de Caixa 2026 CTR]]</f>
        <v>5.2.01. IMÓVEIS</v>
      </c>
      <c r="C295" s="372">
        <f>Fluxo_de_Caixa_Janeiro[[#This Row],[Janeiro]]</f>
        <v>0</v>
      </c>
      <c r="D295" s="374">
        <f>Fluxo_de_Caixa_Janeiro3[[#This Row],[Fevereiro]]</f>
        <v>100000</v>
      </c>
      <c r="E295" s="374">
        <f>Fluxo_de_Caixa_Janeiro34[[#This Row],[Março]]</f>
        <v>400000</v>
      </c>
      <c r="F295" s="374">
        <f>Fluxo_de_Caixa_Janeiro345[[#This Row],[ABRIL]]</f>
        <v>0</v>
      </c>
      <c r="G295" s="374">
        <f>Fluxo_de_Caixa_Janeiro3459[[#This Row],[MAIO]]</f>
        <v>0</v>
      </c>
      <c r="H295" s="374">
        <f>Fluxo_de_Caixa_Janeiro345911[[#This Row],[JUNHO]]</f>
        <v>0</v>
      </c>
      <c r="I295" s="372">
        <f>Fluxo_de_Caixa_Janeiro3459117[[#This Row],[JULHO]]</f>
        <v>0</v>
      </c>
      <c r="J295" s="374">
        <f>Fluxo_de_Caixa_Janeiro345911710[[#This Row],[AGOSTO]]</f>
        <v>0</v>
      </c>
      <c r="K295" s="374">
        <f>Fluxo_de_Caixa_Janeiro34591171012[[#This Row],[SETEMBRO]]</f>
        <v>0</v>
      </c>
      <c r="L295" s="374">
        <f>Fluxo_de_Caixa_Janeiro3459117101215[[#This Row],[OUTUBRO]]</f>
        <v>0</v>
      </c>
      <c r="M295" s="80">
        <f>Fluxo_de_Caixa_Janeiro345911710121516[[#This Row],[NOVEMBRO]]</f>
        <v>0</v>
      </c>
      <c r="N295" s="134">
        <f>Fluxo_de_Caixa_Janeiro34591171012151619[[#This Row],[DEZEMBRO]]</f>
        <v>0</v>
      </c>
      <c r="O295" s="235">
        <f>SUM(Fluxo_de_Caixa_Janeiro31020818[[#This Row],[Janeiro]:[Dezembro]])</f>
        <v>500000</v>
      </c>
      <c r="P295" s="26">
        <f t="shared" ref="P295:P312" si="16">IFERROR(O295/$O$332,"0,00")</f>
        <v>9.1438767425897391E-2</v>
      </c>
      <c r="Q295" s="26"/>
      <c r="R295" s="32" t="str">
        <f>IF(Fluxo_de_Caixa_Janeiro31020818[[#This Row],[% ACUMULADO  ANO 2026]]&lt;=Fluxo_de_Caixa_Janeiro31020818[[#This Row],[Coluna1]],"VERDADEIRO","FALSO")</f>
        <v>FALSO</v>
      </c>
    </row>
    <row r="296" spans="2:18" x14ac:dyDescent="0.25">
      <c r="B296" s="391" t="str">
        <f>Fluxo_de_Caixa_Janeiro[[#This Row],[Fluxo de Caixa 2026 CTR]]</f>
        <v>5.2.02. CONSTRUCAO E AMPLIAÇÕES EXTRUTURA</v>
      </c>
      <c r="C296" s="372">
        <f>Fluxo_de_Caixa_Janeiro[[#This Row],[Janeiro]]</f>
        <v>0</v>
      </c>
      <c r="D296" s="374">
        <f>Fluxo_de_Caixa_Janeiro3[[#This Row],[Fevereiro]]</f>
        <v>0</v>
      </c>
      <c r="E296" s="374">
        <f>Fluxo_de_Caixa_Janeiro34[[#This Row],[Março]]</f>
        <v>0</v>
      </c>
      <c r="F296" s="374">
        <f>Fluxo_de_Caixa_Janeiro345[[#This Row],[ABRIL]]</f>
        <v>0</v>
      </c>
      <c r="G296" s="374">
        <f>Fluxo_de_Caixa_Janeiro3459[[#This Row],[MAIO]]</f>
        <v>0</v>
      </c>
      <c r="H296" s="374">
        <f>Fluxo_de_Caixa_Janeiro345911[[#This Row],[JUNHO]]</f>
        <v>0</v>
      </c>
      <c r="I296" s="372">
        <f>Fluxo_de_Caixa_Janeiro3459117[[#This Row],[JULHO]]</f>
        <v>0</v>
      </c>
      <c r="J296" s="374">
        <f>Fluxo_de_Caixa_Janeiro345911710[[#This Row],[AGOSTO]]</f>
        <v>0</v>
      </c>
      <c r="K296" s="374">
        <f>Fluxo_de_Caixa_Janeiro34591171012[[#This Row],[SETEMBRO]]</f>
        <v>0</v>
      </c>
      <c r="L296" s="374">
        <f>Fluxo_de_Caixa_Janeiro3459117101215[[#This Row],[OUTUBRO]]</f>
        <v>0</v>
      </c>
      <c r="M296" s="374">
        <f>Fluxo_de_Caixa_Janeiro345911710121516[[#This Row],[NOVEMBRO]]</f>
        <v>0</v>
      </c>
      <c r="N296" s="376">
        <f>Fluxo_de_Caixa_Janeiro34591171012151619[[#This Row],[DEZEMBRO]]</f>
        <v>0</v>
      </c>
      <c r="O296" s="235">
        <f>SUM(Fluxo_de_Caixa_Janeiro31020818[[#This Row],[Janeiro]:[Dezembro]])</f>
        <v>0</v>
      </c>
      <c r="P296" s="26">
        <f t="shared" si="16"/>
        <v>0</v>
      </c>
      <c r="Q296" s="26"/>
      <c r="R296" s="32"/>
    </row>
    <row r="297" spans="2:18" x14ac:dyDescent="0.25">
      <c r="B297" s="391" t="str">
        <f>Fluxo_de_Caixa_Janeiro[[#This Row],[Fluxo de Caixa 2026 CTR]]</f>
        <v>5.2.03. LEASING</v>
      </c>
      <c r="C297" s="372">
        <f>Fluxo_de_Caixa_Janeiro[[#This Row],[Janeiro]]</f>
        <v>0</v>
      </c>
      <c r="D297" s="374">
        <f>Fluxo_de_Caixa_Janeiro3[[#This Row],[Fevereiro]]</f>
        <v>0</v>
      </c>
      <c r="E297" s="374">
        <f>Fluxo_de_Caixa_Janeiro34[[#This Row],[Março]]</f>
        <v>0</v>
      </c>
      <c r="F297" s="374">
        <f>Fluxo_de_Caixa_Janeiro345[[#This Row],[ABRIL]]</f>
        <v>0</v>
      </c>
      <c r="G297" s="374">
        <f>Fluxo_de_Caixa_Janeiro3459[[#This Row],[MAIO]]</f>
        <v>0</v>
      </c>
      <c r="H297" s="374">
        <f>Fluxo_de_Caixa_Janeiro345911[[#This Row],[JUNHO]]</f>
        <v>0</v>
      </c>
      <c r="I297" s="372">
        <f>Fluxo_de_Caixa_Janeiro3459117[[#This Row],[JULHO]]</f>
        <v>0</v>
      </c>
      <c r="J297" s="374">
        <f>Fluxo_de_Caixa_Janeiro345911710[[#This Row],[AGOSTO]]</f>
        <v>0</v>
      </c>
      <c r="K297" s="374">
        <f>Fluxo_de_Caixa_Janeiro34591171012[[#This Row],[SETEMBRO]]</f>
        <v>0</v>
      </c>
      <c r="L297" s="374">
        <f>Fluxo_de_Caixa_Janeiro3459117101215[[#This Row],[OUTUBRO]]</f>
        <v>0</v>
      </c>
      <c r="M297" s="374">
        <f>Fluxo_de_Caixa_Janeiro345911710121516[[#This Row],[NOVEMBRO]]</f>
        <v>0</v>
      </c>
      <c r="N297" s="376">
        <f>Fluxo_de_Caixa_Janeiro34591171012151619[[#This Row],[DEZEMBRO]]</f>
        <v>0</v>
      </c>
      <c r="O297" s="235">
        <f>SUM(Fluxo_de_Caixa_Janeiro31020818[[#This Row],[Janeiro]:[Dezembro]])</f>
        <v>0</v>
      </c>
      <c r="P297" s="26">
        <f t="shared" si="16"/>
        <v>0</v>
      </c>
      <c r="Q297" s="26"/>
      <c r="R297" s="32"/>
    </row>
    <row r="298" spans="2:18" x14ac:dyDescent="0.25">
      <c r="B298" s="391" t="str">
        <f>Fluxo_de_Caixa_Janeiro[[#This Row],[Fluxo de Caixa 2026 CTR]]</f>
        <v>5.2.04. COMPRA DE TERRENOS</v>
      </c>
      <c r="C298" s="372">
        <f>Fluxo_de_Caixa_Janeiro[[#This Row],[Janeiro]]</f>
        <v>0</v>
      </c>
      <c r="D298" s="374">
        <f>Fluxo_de_Caixa_Janeiro3[[#This Row],[Fevereiro]]</f>
        <v>2373.11</v>
      </c>
      <c r="E298" s="374">
        <f>Fluxo_de_Caixa_Janeiro34[[#This Row],[Março]]</f>
        <v>2536.86</v>
      </c>
      <c r="F298" s="374">
        <f>Fluxo_de_Caixa_Janeiro345[[#This Row],[ABRIL]]</f>
        <v>2536.86</v>
      </c>
      <c r="G298" s="374">
        <f>Fluxo_de_Caixa_Janeiro3459[[#This Row],[MAIO]]</f>
        <v>0</v>
      </c>
      <c r="H298" s="374">
        <f>Fluxo_de_Caixa_Janeiro345911[[#This Row],[JUNHO]]</f>
        <v>0</v>
      </c>
      <c r="I298" s="372">
        <f>Fluxo_de_Caixa_Janeiro3459117[[#This Row],[JULHO]]</f>
        <v>0</v>
      </c>
      <c r="J298" s="374">
        <f>Fluxo_de_Caixa_Janeiro345911710[[#This Row],[AGOSTO]]</f>
        <v>0</v>
      </c>
      <c r="K298" s="374">
        <f>Fluxo_de_Caixa_Janeiro34591171012[[#This Row],[SETEMBRO]]</f>
        <v>0</v>
      </c>
      <c r="L298" s="374">
        <f>Fluxo_de_Caixa_Janeiro3459117101215[[#This Row],[OUTUBRO]]</f>
        <v>0</v>
      </c>
      <c r="M298" s="374">
        <f>Fluxo_de_Caixa_Janeiro345911710121516[[#This Row],[NOVEMBRO]]</f>
        <v>0</v>
      </c>
      <c r="N298" s="376">
        <f>Fluxo_de_Caixa_Janeiro34591171012151619[[#This Row],[DEZEMBRO]]</f>
        <v>0</v>
      </c>
      <c r="O298" s="235">
        <f>SUM(Fluxo_de_Caixa_Janeiro31020818[[#This Row],[Janeiro]:[Dezembro]])</f>
        <v>7446.83</v>
      </c>
      <c r="P298" s="26">
        <f t="shared" si="16"/>
        <v>1.361857912860391E-3</v>
      </c>
      <c r="Q298" s="26"/>
      <c r="R298" s="32"/>
    </row>
    <row r="299" spans="2:18" x14ac:dyDescent="0.25">
      <c r="B299" s="391" t="str">
        <f>Fluxo_de_Caixa_Janeiro[[#This Row],[Fluxo de Caixa 2026 CTR]]</f>
        <v>5.2.06. AQUISICAO TITULO DE CAPITALIZACAO</v>
      </c>
      <c r="C299" s="372">
        <f>Fluxo_de_Caixa_Janeiro[[#This Row],[Janeiro]]</f>
        <v>664.71</v>
      </c>
      <c r="D299" s="374">
        <f>Fluxo_de_Caixa_Janeiro3[[#This Row],[Fevereiro]]</f>
        <v>664.71</v>
      </c>
      <c r="E299" s="374">
        <f>Fluxo_de_Caixa_Janeiro34[[#This Row],[Março]]</f>
        <v>669.64</v>
      </c>
      <c r="F299" s="374">
        <f>Fluxo_de_Caixa_Janeiro345[[#This Row],[ABRIL]]</f>
        <v>669.64</v>
      </c>
      <c r="G299" s="374">
        <f>Fluxo_de_Caixa_Janeiro3459[[#This Row],[MAIO]]</f>
        <v>669.64</v>
      </c>
      <c r="H299" s="374">
        <f>Fluxo_de_Caixa_Janeiro345911[[#This Row],[JUNHO]]</f>
        <v>0</v>
      </c>
      <c r="I299" s="372">
        <f>Fluxo_de_Caixa_Janeiro3459117[[#This Row],[JULHO]]</f>
        <v>0</v>
      </c>
      <c r="J299" s="374">
        <f>Fluxo_de_Caixa_Janeiro345911710[[#This Row],[AGOSTO]]</f>
        <v>0</v>
      </c>
      <c r="K299" s="374">
        <f>Fluxo_de_Caixa_Janeiro34591171012[[#This Row],[SETEMBRO]]</f>
        <v>0</v>
      </c>
      <c r="L299" s="374">
        <f>Fluxo_de_Caixa_Janeiro3459117101215[[#This Row],[OUTUBRO]]</f>
        <v>0</v>
      </c>
      <c r="M299" s="374">
        <f>Fluxo_de_Caixa_Janeiro345911710121516[[#This Row],[NOVEMBRO]]</f>
        <v>0</v>
      </c>
      <c r="N299" s="376">
        <f>Fluxo_de_Caixa_Janeiro34591171012151619[[#This Row],[DEZEMBRO]]</f>
        <v>0</v>
      </c>
      <c r="O299" s="235">
        <f>SUM(Fluxo_de_Caixa_Janeiro31020818[[#This Row],[Janeiro]:[Dezembro]])</f>
        <v>3338.3399999999997</v>
      </c>
      <c r="P299" s="26">
        <f t="shared" si="16"/>
        <v>6.1050738969714059E-4</v>
      </c>
      <c r="Q299" s="26"/>
      <c r="R299" s="32"/>
    </row>
    <row r="300" spans="2:18" x14ac:dyDescent="0.25">
      <c r="B300" s="391" t="str">
        <f>Fluxo_de_Caixa_Janeiro[[#This Row],[Fluxo de Caixa 2026 CTR]]</f>
        <v>5.2.07. CONSORCIOS</v>
      </c>
      <c r="C300" s="372">
        <f>Fluxo_de_Caixa_Janeiro[[#This Row],[Janeiro]]</f>
        <v>958.51</v>
      </c>
      <c r="D300" s="374">
        <f>Fluxo_de_Caixa_Janeiro3[[#This Row],[Fevereiro]]</f>
        <v>934.26</v>
      </c>
      <c r="E300" s="374">
        <f>Fluxo_de_Caixa_Janeiro34[[#This Row],[Março]]</f>
        <v>981.8</v>
      </c>
      <c r="F300" s="374">
        <f>Fluxo_de_Caixa_Janeiro345[[#This Row],[ABRIL]]</f>
        <v>951.48</v>
      </c>
      <c r="G300" s="374">
        <f>Fluxo_de_Caixa_Janeiro3459[[#This Row],[MAIO]]</f>
        <v>986.18</v>
      </c>
      <c r="H300" s="374">
        <f>Fluxo_de_Caixa_Janeiro345911[[#This Row],[JUNHO]]</f>
        <v>0</v>
      </c>
      <c r="I300" s="372">
        <f>Fluxo_de_Caixa_Janeiro3459117[[#This Row],[JULHO]]</f>
        <v>0</v>
      </c>
      <c r="J300" s="374">
        <f>Fluxo_de_Caixa_Janeiro345911710[[#This Row],[AGOSTO]]</f>
        <v>0</v>
      </c>
      <c r="K300" s="374">
        <f>Fluxo_de_Caixa_Janeiro34591171012[[#This Row],[SETEMBRO]]</f>
        <v>0</v>
      </c>
      <c r="L300" s="374">
        <f>Fluxo_de_Caixa_Janeiro3459117101215[[#This Row],[OUTUBRO]]</f>
        <v>0</v>
      </c>
      <c r="M300" s="374">
        <f>Fluxo_de_Caixa_Janeiro345911710121516[[#This Row],[NOVEMBRO]]</f>
        <v>0</v>
      </c>
      <c r="N300" s="376">
        <f>Fluxo_de_Caixa_Janeiro34591171012151619[[#This Row],[DEZEMBRO]]</f>
        <v>0</v>
      </c>
      <c r="O300" s="235">
        <f>SUM(Fluxo_de_Caixa_Janeiro31020818[[#This Row],[Janeiro]:[Dezembro]])</f>
        <v>4812.2299999999996</v>
      </c>
      <c r="P300" s="26">
        <f t="shared" si="16"/>
        <v>8.8004875953985237E-4</v>
      </c>
      <c r="Q300" s="26"/>
      <c r="R300" s="32"/>
    </row>
    <row r="301" spans="2:18" x14ac:dyDescent="0.25">
      <c r="B301" s="391" t="str">
        <f>Fluxo_de_Caixa_Janeiro[[#This Row],[Fluxo de Caixa 2026 CTR]]</f>
        <v>5.2.08. INVESTIM NOVAS EMPRESAS E FILIAIS</v>
      </c>
      <c r="C301" s="372">
        <f>Fluxo_de_Caixa_Janeiro[[#This Row],[Janeiro]]</f>
        <v>0</v>
      </c>
      <c r="D301" s="374">
        <f>Fluxo_de_Caixa_Janeiro3[[#This Row],[Fevereiro]]</f>
        <v>0</v>
      </c>
      <c r="E301" s="374">
        <f>Fluxo_de_Caixa_Janeiro34[[#This Row],[Março]]</f>
        <v>0</v>
      </c>
      <c r="F301" s="374">
        <f>Fluxo_de_Caixa_Janeiro345[[#This Row],[ABRIL]]</f>
        <v>0</v>
      </c>
      <c r="G301" s="374">
        <f>Fluxo_de_Caixa_Janeiro3459[[#This Row],[MAIO]]</f>
        <v>5040</v>
      </c>
      <c r="H301" s="374">
        <f>Fluxo_de_Caixa_Janeiro345911[[#This Row],[JUNHO]]</f>
        <v>0</v>
      </c>
      <c r="I301" s="372">
        <f>Fluxo_de_Caixa_Janeiro3459117[[#This Row],[JULHO]]</f>
        <v>0</v>
      </c>
      <c r="J301" s="374">
        <f>Fluxo_de_Caixa_Janeiro345911710[[#This Row],[AGOSTO]]</f>
        <v>0</v>
      </c>
      <c r="K301" s="374">
        <f>Fluxo_de_Caixa_Janeiro34591171012[[#This Row],[SETEMBRO]]</f>
        <v>0</v>
      </c>
      <c r="L301" s="374">
        <f>Fluxo_de_Caixa_Janeiro3459117101215[[#This Row],[OUTUBRO]]</f>
        <v>0</v>
      </c>
      <c r="M301" s="374">
        <f>Fluxo_de_Caixa_Janeiro345911710121516[[#This Row],[NOVEMBRO]]</f>
        <v>0</v>
      </c>
      <c r="N301" s="376">
        <f>Fluxo_de_Caixa_Janeiro34591171012151619[[#This Row],[DEZEMBRO]]</f>
        <v>0</v>
      </c>
      <c r="O301" s="235">
        <f>SUM(Fluxo_de_Caixa_Janeiro31020818[[#This Row],[Janeiro]:[Dezembro]])</f>
        <v>5040</v>
      </c>
      <c r="P301" s="26">
        <f t="shared" si="16"/>
        <v>9.2170277565304575E-4</v>
      </c>
      <c r="Q301" s="26"/>
      <c r="R301" s="32"/>
    </row>
    <row r="302" spans="2:18" x14ac:dyDescent="0.25">
      <c r="B302" s="391" t="str">
        <f>Fluxo_de_Caixa_Janeiro[[#This Row],[Fluxo de Caixa 2026 CTR]]</f>
        <v>5.2.14. FRETE COMPRA ATIVO IMOBILIZADO</v>
      </c>
      <c r="C302" s="373">
        <f>Fluxo_de_Caixa_Janeiro[[#This Row],[Janeiro]]</f>
        <v>0</v>
      </c>
      <c r="D302" s="375">
        <f>Fluxo_de_Caixa_Janeiro3[[#This Row],[Fevereiro]]</f>
        <v>0</v>
      </c>
      <c r="E302" s="375">
        <f>Fluxo_de_Caixa_Janeiro34[[#This Row],[Março]]</f>
        <v>0</v>
      </c>
      <c r="F302" s="375">
        <f>Fluxo_de_Caixa_Janeiro345[[#This Row],[ABRIL]]</f>
        <v>0</v>
      </c>
      <c r="G302" s="375">
        <f>Fluxo_de_Caixa_Janeiro3459[[#This Row],[MAIO]]</f>
        <v>0</v>
      </c>
      <c r="H302" s="375">
        <f>Fluxo_de_Caixa_Janeiro345911[[#This Row],[JUNHO]]</f>
        <v>0</v>
      </c>
      <c r="I302" s="373">
        <f>Fluxo_de_Caixa_Janeiro3459117[[#This Row],[JULHO]]</f>
        <v>0</v>
      </c>
      <c r="J302" s="375">
        <f>Fluxo_de_Caixa_Janeiro345911710[[#This Row],[AGOSTO]]</f>
        <v>0</v>
      </c>
      <c r="K302" s="375">
        <f>Fluxo_de_Caixa_Janeiro34591171012[[#This Row],[SETEMBRO]]</f>
        <v>0</v>
      </c>
      <c r="L302" s="375">
        <f>Fluxo_de_Caixa_Janeiro3459117101215[[#This Row],[OUTUBRO]]</f>
        <v>0</v>
      </c>
      <c r="M302" s="375">
        <f>Fluxo_de_Caixa_Janeiro345911710121516[[#This Row],[NOVEMBRO]]</f>
        <v>0</v>
      </c>
      <c r="N302" s="377">
        <f>Fluxo_de_Caixa_Janeiro34591171012151619[[#This Row],[DEZEMBRO]]</f>
        <v>0</v>
      </c>
      <c r="O302" s="235">
        <f>SUM(Fluxo_de_Caixa_Janeiro31020818[[#This Row],[Janeiro]:[Dezembro]])</f>
        <v>0</v>
      </c>
      <c r="P302" s="26">
        <f t="shared" si="16"/>
        <v>0</v>
      </c>
      <c r="Q302" s="26"/>
      <c r="R302" s="32"/>
    </row>
    <row r="303" spans="2:18" x14ac:dyDescent="0.25">
      <c r="B303" s="391" t="str">
        <f>Fluxo_de_Caixa_Janeiro[[#This Row],[Fluxo de Caixa 2026 CTR]]</f>
        <v>5.2.15. AQUISICAO DE NOVO SOFTWARE INFORMATICA</v>
      </c>
      <c r="C303" s="372">
        <f>Fluxo_de_Caixa_Janeiro[[#This Row],[Janeiro]]</f>
        <v>951</v>
      </c>
      <c r="D303" s="374">
        <f>Fluxo_de_Caixa_Janeiro3[[#This Row],[Fevereiro]]</f>
        <v>0</v>
      </c>
      <c r="E303" s="374">
        <f>Fluxo_de_Caixa_Janeiro34[[#This Row],[Março]]</f>
        <v>0</v>
      </c>
      <c r="F303" s="374">
        <f>Fluxo_de_Caixa_Janeiro345[[#This Row],[ABRIL]]</f>
        <v>0</v>
      </c>
      <c r="G303" s="374">
        <f>Fluxo_de_Caixa_Janeiro3459[[#This Row],[MAIO]]</f>
        <v>0</v>
      </c>
      <c r="H303" s="374">
        <f>Fluxo_de_Caixa_Janeiro345911[[#This Row],[JUNHO]]</f>
        <v>0</v>
      </c>
      <c r="I303" s="372">
        <f>Fluxo_de_Caixa_Janeiro3459117[[#This Row],[JULHO]]</f>
        <v>0</v>
      </c>
      <c r="J303" s="374">
        <f>Fluxo_de_Caixa_Janeiro345911710[[#This Row],[AGOSTO]]</f>
        <v>0</v>
      </c>
      <c r="K303" s="374">
        <f>Fluxo_de_Caixa_Janeiro34591171012[[#This Row],[SETEMBRO]]</f>
        <v>0</v>
      </c>
      <c r="L303" s="374">
        <f>Fluxo_de_Caixa_Janeiro3459117101215[[#This Row],[OUTUBRO]]</f>
        <v>0</v>
      </c>
      <c r="M303" s="374">
        <f>Fluxo_de_Caixa_Janeiro345911710121516[[#This Row],[NOVEMBRO]]</f>
        <v>0</v>
      </c>
      <c r="N303" s="376">
        <f>Fluxo_de_Caixa_Janeiro34591171012151619[[#This Row],[DEZEMBRO]]</f>
        <v>0</v>
      </c>
      <c r="O303" s="235">
        <f>SUM(Fluxo_de_Caixa_Janeiro31020818[[#This Row],[Janeiro]:[Dezembro]])</f>
        <v>951</v>
      </c>
      <c r="P303" s="26">
        <f t="shared" si="16"/>
        <v>1.7391653564405684E-4</v>
      </c>
      <c r="Q303" s="26"/>
      <c r="R303" s="32"/>
    </row>
    <row r="304" spans="2:18" x14ac:dyDescent="0.25">
      <c r="B304" s="391" t="str">
        <f>Fluxo_de_Caixa_Janeiro[[#This Row],[Fluxo de Caixa 2026 CTR]]</f>
        <v>5.2.16. PARTICIPACAO SOCIEDADE COOPERATI</v>
      </c>
      <c r="C304" s="372">
        <f>Fluxo_de_Caixa_Janeiro[[#This Row],[Janeiro]]</f>
        <v>0</v>
      </c>
      <c r="D304" s="374">
        <f>Fluxo_de_Caixa_Janeiro3[[#This Row],[Fevereiro]]</f>
        <v>0</v>
      </c>
      <c r="E304" s="374">
        <f>Fluxo_de_Caixa_Janeiro34[[#This Row],[Março]]</f>
        <v>0</v>
      </c>
      <c r="F304" s="374">
        <f>Fluxo_de_Caixa_Janeiro345[[#This Row],[ABRIL]]</f>
        <v>0</v>
      </c>
      <c r="G304" s="374">
        <f>Fluxo_de_Caixa_Janeiro3459[[#This Row],[MAIO]]</f>
        <v>0</v>
      </c>
      <c r="H304" s="374">
        <f>Fluxo_de_Caixa_Janeiro345911[[#This Row],[JUNHO]]</f>
        <v>0</v>
      </c>
      <c r="I304" s="372">
        <f>Fluxo_de_Caixa_Janeiro3459117[[#This Row],[JULHO]]</f>
        <v>0</v>
      </c>
      <c r="J304" s="374">
        <f>Fluxo_de_Caixa_Janeiro345911710[[#This Row],[AGOSTO]]</f>
        <v>0</v>
      </c>
      <c r="K304" s="374">
        <f>Fluxo_de_Caixa_Janeiro34591171012[[#This Row],[SETEMBRO]]</f>
        <v>0</v>
      </c>
      <c r="L304" s="374">
        <f>Fluxo_de_Caixa_Janeiro3459117101215[[#This Row],[OUTUBRO]]</f>
        <v>0</v>
      </c>
      <c r="M304" s="374">
        <f>Fluxo_de_Caixa_Janeiro345911710121516[[#This Row],[NOVEMBRO]]</f>
        <v>0</v>
      </c>
      <c r="N304" s="376">
        <f>Fluxo_de_Caixa_Janeiro34591171012151619[[#This Row],[DEZEMBRO]]</f>
        <v>0</v>
      </c>
      <c r="O304" s="235">
        <f>SUM(Fluxo_de_Caixa_Janeiro31020818[[#This Row],[Janeiro]:[Dezembro]])</f>
        <v>0</v>
      </c>
      <c r="P304" s="26">
        <f t="shared" si="16"/>
        <v>0</v>
      </c>
      <c r="Q304" s="26"/>
      <c r="R304" s="32"/>
    </row>
    <row r="305" spans="2:19" ht="15.75" thickBot="1" x14ac:dyDescent="0.3">
      <c r="B305" s="391" t="str">
        <f>Fluxo_de_Caixa_Janeiro[[#This Row],[Fluxo de Caixa 2026 CTR]]</f>
        <v>5.2.17. DEVOLUÇÃO DE CAPITAL INVESTIDO</v>
      </c>
      <c r="C305" s="372">
        <f>Fluxo_de_Caixa_Janeiro[[#This Row],[Janeiro]]</f>
        <v>10000</v>
      </c>
      <c r="D305" s="374">
        <f>Fluxo_de_Caixa_Janeiro3[[#This Row],[Fevereiro]]</f>
        <v>5000</v>
      </c>
      <c r="E305" s="374">
        <f>Fluxo_de_Caixa_Janeiro34[[#This Row],[Março]]</f>
        <v>0</v>
      </c>
      <c r="F305" s="374">
        <f>Fluxo_de_Caixa_Janeiro345[[#This Row],[ABRIL]]</f>
        <v>220000</v>
      </c>
      <c r="G305" s="374">
        <f>Fluxo_de_Caixa_Janeiro3459[[#This Row],[MAIO]]</f>
        <v>0</v>
      </c>
      <c r="H305" s="374">
        <f>Fluxo_de_Caixa_Janeiro345911[[#This Row],[JUNHO]]</f>
        <v>0</v>
      </c>
      <c r="I305" s="372">
        <f>Fluxo_de_Caixa_Janeiro3459117[[#This Row],[JULHO]]</f>
        <v>0</v>
      </c>
      <c r="J305" s="374">
        <f>Fluxo_de_Caixa_Janeiro345911710[[#This Row],[AGOSTO]]</f>
        <v>0</v>
      </c>
      <c r="K305" s="374">
        <f>Fluxo_de_Caixa_Janeiro34591171012[[#This Row],[SETEMBRO]]</f>
        <v>0</v>
      </c>
      <c r="L305" s="374">
        <f>Fluxo_de_Caixa_Janeiro3459117101215[[#This Row],[OUTUBRO]]</f>
        <v>0</v>
      </c>
      <c r="M305" s="374">
        <f>Fluxo_de_Caixa_Janeiro345911710121516[[#This Row],[NOVEMBRO]]</f>
        <v>0</v>
      </c>
      <c r="N305" s="376">
        <f>Fluxo_de_Caixa_Janeiro34591171012151619[[#This Row],[DEZEMBRO]]</f>
        <v>0</v>
      </c>
      <c r="O305" s="235">
        <f>SUM(Fluxo_de_Caixa_Janeiro31020818[[#This Row],[Janeiro]:[Dezembro]])</f>
        <v>235000</v>
      </c>
      <c r="P305" s="26">
        <f t="shared" si="16"/>
        <v>4.2976220690171776E-2</v>
      </c>
      <c r="Q305" s="26"/>
      <c r="R305" s="32"/>
    </row>
    <row r="306" spans="2:19" hidden="1" x14ac:dyDescent="0.25">
      <c r="B306" s="391">
        <f>Fluxo_de_Caixa_Janeiro[[#This Row],[Fluxo de Caixa 2026 CTR]]</f>
        <v>0</v>
      </c>
      <c r="C306" s="373">
        <f>Fluxo_de_Caixa_Janeiro[[#This Row],[Janeiro]]</f>
        <v>0</v>
      </c>
      <c r="D306" s="375">
        <f>Fluxo_de_Caixa_Janeiro3[[#This Row],[Fevereiro]]</f>
        <v>0</v>
      </c>
      <c r="E306" s="375">
        <f>Fluxo_de_Caixa_Janeiro34[[#This Row],[Março]]</f>
        <v>0</v>
      </c>
      <c r="F306" s="375">
        <f>Fluxo_de_Caixa_Janeiro345[[#This Row],[ABRIL]]</f>
        <v>0</v>
      </c>
      <c r="G306" s="375">
        <f>Fluxo_de_Caixa_Janeiro3459[[#This Row],[MAIO]]</f>
        <v>0</v>
      </c>
      <c r="H306" s="375">
        <f>Fluxo_de_Caixa_Janeiro345911[[#This Row],[JUNHO]]</f>
        <v>0</v>
      </c>
      <c r="I306" s="373">
        <f>Fluxo_de_Caixa_Janeiro3459117[[#This Row],[JULHO]]</f>
        <v>0</v>
      </c>
      <c r="J306" s="375">
        <f>Fluxo_de_Caixa_Janeiro345911710[[#This Row],[AGOSTO]]</f>
        <v>0</v>
      </c>
      <c r="K306" s="375">
        <f>Fluxo_de_Caixa_Janeiro34591171012[[#This Row],[SETEMBRO]]</f>
        <v>0</v>
      </c>
      <c r="L306" s="375">
        <f>Fluxo_de_Caixa_Janeiro3459117101215[[#This Row],[OUTUBRO]]</f>
        <v>0</v>
      </c>
      <c r="M306" s="375">
        <f>Fluxo_de_Caixa_Janeiro345911710121516[[#This Row],[NOVEMBRO]]</f>
        <v>0</v>
      </c>
      <c r="N306" s="377">
        <f>Fluxo_de_Caixa_Janeiro34591171012151619[[#This Row],[DEZEMBRO]]</f>
        <v>0</v>
      </c>
      <c r="O306" s="235">
        <f>SUM(Fluxo_de_Caixa_Janeiro31020818[[#This Row],[Janeiro]:[Dezembro]])</f>
        <v>0</v>
      </c>
      <c r="P306" s="26">
        <f t="shared" si="16"/>
        <v>0</v>
      </c>
      <c r="Q306" s="26"/>
      <c r="R306" s="32"/>
    </row>
    <row r="307" spans="2:19" hidden="1" x14ac:dyDescent="0.25">
      <c r="B307" s="392">
        <f>Fluxo_de_Caixa_Janeiro[[#This Row],[Fluxo de Caixa 2026 CTR]]</f>
        <v>0</v>
      </c>
      <c r="C307" s="372">
        <f>Fluxo_de_Caixa_Janeiro[[#This Row],[Janeiro]]</f>
        <v>0</v>
      </c>
      <c r="D307" s="374">
        <f>Fluxo_de_Caixa_Janeiro3[[#This Row],[Fevereiro]]</f>
        <v>0</v>
      </c>
      <c r="E307" s="374">
        <f>Fluxo_de_Caixa_Janeiro34[[#This Row],[Março]]</f>
        <v>0</v>
      </c>
      <c r="F307" s="374">
        <f>Fluxo_de_Caixa_Janeiro345[[#This Row],[ABRIL]]</f>
        <v>0</v>
      </c>
      <c r="G307" s="374">
        <f>Fluxo_de_Caixa_Janeiro3459[[#This Row],[MAIO]]</f>
        <v>0</v>
      </c>
      <c r="H307" s="374">
        <f>Fluxo_de_Caixa_Janeiro345911[[#This Row],[JUNHO]]</f>
        <v>0</v>
      </c>
      <c r="I307" s="372">
        <f>Fluxo_de_Caixa_Janeiro3459117[[#This Row],[JULHO]]</f>
        <v>0</v>
      </c>
      <c r="J307" s="374">
        <f>Fluxo_de_Caixa_Janeiro345911710[[#This Row],[AGOSTO]]</f>
        <v>0</v>
      </c>
      <c r="K307" s="374">
        <f>Fluxo_de_Caixa_Janeiro34591171012[[#This Row],[SETEMBRO]]</f>
        <v>0</v>
      </c>
      <c r="L307" s="374">
        <f>Fluxo_de_Caixa_Janeiro3459117101215[[#This Row],[OUTUBRO]]</f>
        <v>0</v>
      </c>
      <c r="M307" s="374">
        <f>Fluxo_de_Caixa_Janeiro345911710121516[[#This Row],[NOVEMBRO]]</f>
        <v>0</v>
      </c>
      <c r="N307" s="376">
        <f>Fluxo_de_Caixa_Janeiro34591171012151619[[#This Row],[DEZEMBRO]]</f>
        <v>0</v>
      </c>
      <c r="O307" s="235">
        <f>SUM(Fluxo_de_Caixa_Janeiro31020818[[#This Row],[Janeiro]:[Dezembro]])</f>
        <v>0</v>
      </c>
      <c r="P307" s="26">
        <f t="shared" si="16"/>
        <v>0</v>
      </c>
      <c r="Q307" s="26"/>
      <c r="R307" s="32"/>
    </row>
    <row r="308" spans="2:19" hidden="1" x14ac:dyDescent="0.25">
      <c r="B308" s="392">
        <f>Fluxo_de_Caixa_Janeiro[[#This Row],[Fluxo de Caixa 2026 CTR]]</f>
        <v>0</v>
      </c>
      <c r="C308" s="372">
        <f>Fluxo_de_Caixa_Janeiro[[#This Row],[Janeiro]]</f>
        <v>0</v>
      </c>
      <c r="D308" s="374">
        <f>Fluxo_de_Caixa_Janeiro3[[#This Row],[Fevereiro]]</f>
        <v>0</v>
      </c>
      <c r="E308" s="374">
        <f>Fluxo_de_Caixa_Janeiro34[[#This Row],[Março]]</f>
        <v>0</v>
      </c>
      <c r="F308" s="374">
        <f>Fluxo_de_Caixa_Janeiro345[[#This Row],[ABRIL]]</f>
        <v>0</v>
      </c>
      <c r="G308" s="374">
        <f>Fluxo_de_Caixa_Janeiro3459[[#This Row],[MAIO]]</f>
        <v>0</v>
      </c>
      <c r="H308" s="374">
        <f>Fluxo_de_Caixa_Janeiro345911[[#This Row],[JUNHO]]</f>
        <v>0</v>
      </c>
      <c r="I308" s="372">
        <f>Fluxo_de_Caixa_Janeiro3459117[[#This Row],[JULHO]]</f>
        <v>0</v>
      </c>
      <c r="J308" s="374">
        <f>Fluxo_de_Caixa_Janeiro345911710[[#This Row],[AGOSTO]]</f>
        <v>0</v>
      </c>
      <c r="K308" s="374">
        <f>Fluxo_de_Caixa_Janeiro34591171012[[#This Row],[SETEMBRO]]</f>
        <v>0</v>
      </c>
      <c r="L308" s="374">
        <f>Fluxo_de_Caixa_Janeiro3459117101215[[#This Row],[OUTUBRO]]</f>
        <v>0</v>
      </c>
      <c r="M308" s="374">
        <f>Fluxo_de_Caixa_Janeiro345911710121516[[#This Row],[NOVEMBRO]]</f>
        <v>0</v>
      </c>
      <c r="N308" s="376">
        <f>Fluxo_de_Caixa_Janeiro34591171012151619[[#This Row],[DEZEMBRO]]</f>
        <v>0</v>
      </c>
      <c r="O308" s="235">
        <f>SUM(Fluxo_de_Caixa_Janeiro31020818[[#This Row],[Janeiro]:[Dezembro]])</f>
        <v>0</v>
      </c>
      <c r="P308" s="26">
        <f t="shared" si="16"/>
        <v>0</v>
      </c>
      <c r="Q308" s="26"/>
      <c r="R308" s="32"/>
    </row>
    <row r="309" spans="2:19" hidden="1" x14ac:dyDescent="0.25">
      <c r="B309" s="392">
        <f>Fluxo_de_Caixa_Janeiro[[#This Row],[Fluxo de Caixa 2026 CTR]]</f>
        <v>0</v>
      </c>
      <c r="C309" s="373">
        <f>Fluxo_de_Caixa_Janeiro[[#This Row],[Janeiro]]</f>
        <v>0</v>
      </c>
      <c r="D309" s="375">
        <f>Fluxo_de_Caixa_Janeiro3[[#This Row],[Fevereiro]]</f>
        <v>0</v>
      </c>
      <c r="E309" s="375">
        <f>Fluxo_de_Caixa_Janeiro34[[#This Row],[Março]]</f>
        <v>0</v>
      </c>
      <c r="F309" s="375">
        <f>Fluxo_de_Caixa_Janeiro345[[#This Row],[ABRIL]]</f>
        <v>0</v>
      </c>
      <c r="G309" s="375">
        <f>Fluxo_de_Caixa_Janeiro3459[[#This Row],[MAIO]]</f>
        <v>0</v>
      </c>
      <c r="H309" s="375">
        <f>Fluxo_de_Caixa_Janeiro345911[[#This Row],[JUNHO]]</f>
        <v>0</v>
      </c>
      <c r="I309" s="373">
        <f>Fluxo_de_Caixa_Janeiro3459117[[#This Row],[JULHO]]</f>
        <v>0</v>
      </c>
      <c r="J309" s="375">
        <f>Fluxo_de_Caixa_Janeiro345911710[[#This Row],[AGOSTO]]</f>
        <v>0</v>
      </c>
      <c r="K309" s="375">
        <f>Fluxo_de_Caixa_Janeiro34591171012[[#This Row],[SETEMBRO]]</f>
        <v>0</v>
      </c>
      <c r="L309" s="375">
        <f>Fluxo_de_Caixa_Janeiro3459117101215[[#This Row],[OUTUBRO]]</f>
        <v>0</v>
      </c>
      <c r="M309" s="375">
        <f>Fluxo_de_Caixa_Janeiro345911710121516[[#This Row],[NOVEMBRO]]</f>
        <v>0</v>
      </c>
      <c r="N309" s="377">
        <f>Fluxo_de_Caixa_Janeiro34591171012151619[[#This Row],[DEZEMBRO]]</f>
        <v>0</v>
      </c>
      <c r="O309" s="235">
        <f>SUM(Fluxo_de_Caixa_Janeiro31020818[[#This Row],[Janeiro]:[Dezembro]])</f>
        <v>0</v>
      </c>
      <c r="P309" s="26">
        <f t="shared" si="16"/>
        <v>0</v>
      </c>
      <c r="Q309" s="26"/>
      <c r="R309" s="32"/>
    </row>
    <row r="310" spans="2:19" hidden="1" x14ac:dyDescent="0.25">
      <c r="B310" s="270">
        <f>Fluxo_de_Caixa_Janeiro[[#This Row],[Fluxo de Caixa 2026 CTR]]</f>
        <v>0</v>
      </c>
      <c r="C310" s="45">
        <f>Fluxo_de_Caixa_Janeiro[[#This Row],[Janeiro]]</f>
        <v>0</v>
      </c>
      <c r="D310" s="80">
        <f>Fluxo_de_Caixa_Janeiro3[[#This Row],[Fevereiro]]</f>
        <v>0</v>
      </c>
      <c r="E310" s="80">
        <f>Fluxo_de_Caixa_Janeiro34[[#This Row],[Março]]</f>
        <v>0</v>
      </c>
      <c r="F310" s="80">
        <f>Fluxo_de_Caixa_Janeiro345[[#This Row],[ABRIL]]</f>
        <v>0</v>
      </c>
      <c r="G310" s="80">
        <f>Fluxo_de_Caixa_Janeiro3459[[#This Row],[MAIO]]</f>
        <v>0</v>
      </c>
      <c r="H310" s="80">
        <f>Fluxo_de_Caixa_Janeiro345911[[#This Row],[JUNHO]]</f>
        <v>0</v>
      </c>
      <c r="I310" s="45">
        <f>Fluxo_de_Caixa_Janeiro3459117[[#This Row],[JULHO]]</f>
        <v>0</v>
      </c>
      <c r="J310" s="80">
        <f>Fluxo_de_Caixa_Janeiro345911710[[#This Row],[AGOSTO]]</f>
        <v>0</v>
      </c>
      <c r="K310" s="80">
        <f>Fluxo_de_Caixa_Janeiro34591171012[[#This Row],[SETEMBRO]]</f>
        <v>0</v>
      </c>
      <c r="L310" s="80">
        <f>Fluxo_de_Caixa_Janeiro3459117101215[[#This Row],[OUTUBRO]]</f>
        <v>0</v>
      </c>
      <c r="M310" s="80">
        <f>Fluxo_de_Caixa_Janeiro345911710121516[[#This Row],[NOVEMBRO]]</f>
        <v>0</v>
      </c>
      <c r="N310" s="134">
        <f>Fluxo_de_Caixa_Janeiro34591171012151619[[#This Row],[DEZEMBRO]]</f>
        <v>0</v>
      </c>
      <c r="O310" s="235">
        <f>SUM(Fluxo_de_Caixa_Janeiro31020818[[#This Row],[Janeiro]:[Dezembro]])</f>
        <v>0</v>
      </c>
      <c r="P310" s="26">
        <f t="shared" si="16"/>
        <v>0</v>
      </c>
      <c r="Q310" s="26"/>
      <c r="R310" s="32" t="str">
        <f>IF(Fluxo_de_Caixa_Janeiro31020818[[#This Row],[% ACUMULADO  ANO 2026]]&lt;=Fluxo_de_Caixa_Janeiro31020818[[#This Row],[Coluna1]],"VERDADEIRO","FALSO")</f>
        <v>VERDADEIRO</v>
      </c>
    </row>
    <row r="311" spans="2:19" hidden="1" x14ac:dyDescent="0.25">
      <c r="B311" s="270">
        <f>Fluxo_de_Caixa_Janeiro[[#This Row],[Fluxo de Caixa 2026 CTR]]</f>
        <v>0</v>
      </c>
      <c r="C311" s="45">
        <f>Fluxo_de_Caixa_Janeiro[[#This Row],[Janeiro]]</f>
        <v>0</v>
      </c>
      <c r="D311" s="80">
        <f>Fluxo_de_Caixa_Janeiro3[[#This Row],[Fevereiro]]</f>
        <v>0</v>
      </c>
      <c r="E311" s="80">
        <f>Fluxo_de_Caixa_Janeiro34[[#This Row],[Março]]</f>
        <v>0</v>
      </c>
      <c r="F311" s="80">
        <f>Fluxo_de_Caixa_Janeiro345[[#This Row],[ABRIL]]</f>
        <v>0</v>
      </c>
      <c r="G311" s="80">
        <f>Fluxo_de_Caixa_Janeiro3459[[#This Row],[MAIO]]</f>
        <v>0</v>
      </c>
      <c r="H311" s="80">
        <f>Fluxo_de_Caixa_Janeiro345911[[#This Row],[JUNHO]]</f>
        <v>0</v>
      </c>
      <c r="I311" s="45">
        <f>Fluxo_de_Caixa_Janeiro3459117[[#This Row],[JULHO]]</f>
        <v>0</v>
      </c>
      <c r="J311" s="80">
        <f>Fluxo_de_Caixa_Janeiro345911710[[#This Row],[AGOSTO]]</f>
        <v>0</v>
      </c>
      <c r="K311" s="80">
        <f>Fluxo_de_Caixa_Janeiro34591171012[[#This Row],[SETEMBRO]]</f>
        <v>0</v>
      </c>
      <c r="L311" s="80">
        <f>Fluxo_de_Caixa_Janeiro3459117101215[[#This Row],[OUTUBRO]]</f>
        <v>0</v>
      </c>
      <c r="M311" s="80">
        <f>Fluxo_de_Caixa_Janeiro345911710121516[[#This Row],[NOVEMBRO]]</f>
        <v>0</v>
      </c>
      <c r="N311" s="134">
        <f>Fluxo_de_Caixa_Janeiro34591171012151619[[#This Row],[DEZEMBRO]]</f>
        <v>0</v>
      </c>
      <c r="O311" s="235">
        <f>SUM(Fluxo_de_Caixa_Janeiro31020818[[#This Row],[Janeiro]:[Dezembro]])</f>
        <v>0</v>
      </c>
      <c r="P311" s="26">
        <f t="shared" si="16"/>
        <v>0</v>
      </c>
      <c r="Q311" s="26"/>
      <c r="R311" s="32" t="str">
        <f>IF(Fluxo_de_Caixa_Janeiro31020818[[#This Row],[% ACUMULADO  ANO 2026]]&lt;=Fluxo_de_Caixa_Janeiro31020818[[#This Row],[Coluna1]],"VERDADEIRO","FALSO")</f>
        <v>VERDADEIRO</v>
      </c>
    </row>
    <row r="312" spans="2:19" hidden="1" x14ac:dyDescent="0.25">
      <c r="B312" s="270">
        <f>Fluxo_de_Caixa_Janeiro[[#This Row],[Fluxo de Caixa 2026 CTR]]</f>
        <v>0</v>
      </c>
      <c r="C312" s="45">
        <f>Fluxo_de_Caixa_Janeiro[[#This Row],[Janeiro]]</f>
        <v>0</v>
      </c>
      <c r="D312" s="80">
        <f>Fluxo_de_Caixa_Janeiro3[[#This Row],[Fevereiro]]</f>
        <v>0</v>
      </c>
      <c r="E312" s="80">
        <f>Fluxo_de_Caixa_Janeiro34[[#This Row],[Março]]</f>
        <v>0</v>
      </c>
      <c r="F312" s="80">
        <f>Fluxo_de_Caixa_Janeiro345[[#This Row],[ABRIL]]</f>
        <v>0</v>
      </c>
      <c r="G312" s="80">
        <f>Fluxo_de_Caixa_Janeiro3459[[#This Row],[MAIO]]</f>
        <v>0</v>
      </c>
      <c r="H312" s="80">
        <f>Fluxo_de_Caixa_Janeiro345911[[#This Row],[JUNHO]]</f>
        <v>0</v>
      </c>
      <c r="I312" s="45">
        <f>Fluxo_de_Caixa_Janeiro3459117[[#This Row],[JULHO]]</f>
        <v>0</v>
      </c>
      <c r="J312" s="80">
        <f>Fluxo_de_Caixa_Janeiro345911710[[#This Row],[AGOSTO]]</f>
        <v>0</v>
      </c>
      <c r="K312" s="80">
        <f>Fluxo_de_Caixa_Janeiro34591171012[[#This Row],[SETEMBRO]]</f>
        <v>0</v>
      </c>
      <c r="L312" s="80">
        <f>Fluxo_de_Caixa_Janeiro3459117101215[[#This Row],[OUTUBRO]]</f>
        <v>0</v>
      </c>
      <c r="M312" s="80">
        <f>Fluxo_de_Caixa_Janeiro345911710121516[[#This Row],[NOVEMBRO]]</f>
        <v>0</v>
      </c>
      <c r="N312" s="134">
        <f>Fluxo_de_Caixa_Janeiro34591171012151619[[#This Row],[DEZEMBRO]]</f>
        <v>0</v>
      </c>
      <c r="O312" s="235">
        <f>SUM(Fluxo_de_Caixa_Janeiro31020818[[#This Row],[Janeiro]:[Dezembro]])</f>
        <v>0</v>
      </c>
      <c r="P312" s="26">
        <f t="shared" si="16"/>
        <v>0</v>
      </c>
      <c r="Q312" s="26"/>
      <c r="R312" s="32" t="str">
        <f>IF(Fluxo_de_Caixa_Janeiro31020818[[#This Row],[% ACUMULADO  ANO 2026]]&lt;=Fluxo_de_Caixa_Janeiro31020818[[#This Row],[Coluna1]],"VERDADEIRO","FALSO")</f>
        <v>VERDADEIRO</v>
      </c>
    </row>
    <row r="313" spans="2:19" hidden="1" x14ac:dyDescent="0.25">
      <c r="B313" s="270">
        <f>Fluxo_de_Caixa_Janeiro[[#This Row],[Fluxo de Caixa 2026 CTR]]</f>
        <v>0</v>
      </c>
      <c r="C313" s="45">
        <f>Fluxo_de_Caixa_Janeiro[[#This Row],[Janeiro]]</f>
        <v>0</v>
      </c>
      <c r="D313" s="80">
        <f>Fluxo_de_Caixa_Janeiro3[[#This Row],[Fevereiro]]</f>
        <v>0</v>
      </c>
      <c r="E313" s="80">
        <f>Fluxo_de_Caixa_Janeiro34[[#This Row],[Março]]</f>
        <v>0</v>
      </c>
      <c r="F313" s="80">
        <f>Fluxo_de_Caixa_Janeiro345[[#This Row],[ABRIL]]</f>
        <v>0</v>
      </c>
      <c r="G313" s="80">
        <f>Fluxo_de_Caixa_Janeiro3459[[#This Row],[MAIO]]</f>
        <v>0</v>
      </c>
      <c r="H313" s="80">
        <f>Fluxo_de_Caixa_Janeiro345911[[#This Row],[JUNHO]]</f>
        <v>0</v>
      </c>
      <c r="I313" s="45">
        <f>Fluxo_de_Caixa_Janeiro3459117[[#This Row],[JULHO]]</f>
        <v>0</v>
      </c>
      <c r="J313" s="80">
        <f>Fluxo_de_Caixa_Janeiro345911710[[#This Row],[AGOSTO]]</f>
        <v>0</v>
      </c>
      <c r="K313" s="80">
        <f>Fluxo_de_Caixa_Janeiro34591171012[[#This Row],[SETEMBRO]]</f>
        <v>0</v>
      </c>
      <c r="L313" s="80">
        <f>Fluxo_de_Caixa_Janeiro3459117101215[[#This Row],[OUTUBRO]]</f>
        <v>0</v>
      </c>
      <c r="M313" s="80">
        <f>Fluxo_de_Caixa_Janeiro345911710121516[[#This Row],[NOVEMBRO]]</f>
        <v>0</v>
      </c>
      <c r="N313" s="134">
        <f>Fluxo_de_Caixa_Janeiro34591171012151619[[#This Row],[DEZEMBRO]]</f>
        <v>0</v>
      </c>
      <c r="O313" s="235">
        <f>SUM(Fluxo_de_Caixa_Janeiro31020818[[#This Row],[Janeiro]:[Dezembro]])</f>
        <v>0</v>
      </c>
      <c r="P313" s="26">
        <f>-IFERROR(O313/$O$332,"0,00")</f>
        <v>0</v>
      </c>
      <c r="Q313" s="26"/>
      <c r="R313" s="32" t="str">
        <f>IF(Fluxo_de_Caixa_Janeiro31020818[[#This Row],[% ACUMULADO  ANO 2026]]&lt;=Fluxo_de_Caixa_Janeiro31020818[[#This Row],[Coluna1]],"VERDADEIRO","FALSO")</f>
        <v>VERDADEIRO</v>
      </c>
    </row>
    <row r="314" spans="2:19" ht="15.75" hidden="1" thickBot="1" x14ac:dyDescent="0.3">
      <c r="B314" s="280">
        <f>Fluxo_de_Caixa_Janeiro[[#This Row],[Fluxo de Caixa 2026 CTR]]</f>
        <v>0</v>
      </c>
      <c r="C314" s="163">
        <f>Fluxo_de_Caixa_Janeiro[[#This Row],[Janeiro]]</f>
        <v>0</v>
      </c>
      <c r="D314" s="106">
        <f>Fluxo_de_Caixa_Janeiro3[[#This Row],[Fevereiro]]</f>
        <v>0</v>
      </c>
      <c r="E314" s="106">
        <f>Fluxo_de_Caixa_Janeiro34[[#This Row],[Março]]</f>
        <v>0</v>
      </c>
      <c r="F314" s="106">
        <f>Fluxo_de_Caixa_Janeiro345[[#This Row],[ABRIL]]</f>
        <v>0</v>
      </c>
      <c r="G314" s="106">
        <f>Fluxo_de_Caixa_Janeiro3459[[#This Row],[MAIO]]</f>
        <v>0</v>
      </c>
      <c r="H314" s="106">
        <f>Fluxo_de_Caixa_Janeiro345911[[#This Row],[JUNHO]]</f>
        <v>0</v>
      </c>
      <c r="I314" s="163">
        <f>Fluxo_de_Caixa_Janeiro3459117[[#This Row],[JULHO]]</f>
        <v>0</v>
      </c>
      <c r="J314" s="106">
        <f>Fluxo_de_Caixa_Janeiro345911710[[#This Row],[AGOSTO]]</f>
        <v>0</v>
      </c>
      <c r="K314" s="106">
        <f>Fluxo_de_Caixa_Janeiro34591171012[[#This Row],[SETEMBRO]]</f>
        <v>0</v>
      </c>
      <c r="L314" s="106">
        <f>Fluxo_de_Caixa_Janeiro3459117101215[[#This Row],[OUTUBRO]]</f>
        <v>0</v>
      </c>
      <c r="M314" s="106">
        <f>Fluxo_de_Caixa_Janeiro345911710121516[[#This Row],[NOVEMBRO]]</f>
        <v>0</v>
      </c>
      <c r="N314" s="135">
        <f>Fluxo_de_Caixa_Janeiro34591171012151619[[#This Row],[DEZEMBRO]]</f>
        <v>0</v>
      </c>
      <c r="O314" s="236">
        <f>SUM(Fluxo_de_Caixa_Janeiro31020818[[#This Row],[Janeiro]:[Dezembro]])</f>
        <v>0</v>
      </c>
      <c r="P314" s="148">
        <f>-IFERROR(O314/$O$332,"0,00")</f>
        <v>0</v>
      </c>
      <c r="Q314" s="148"/>
      <c r="R314" s="32" t="str">
        <f>IF(Fluxo_de_Caixa_Janeiro31020818[[#This Row],[% ACUMULADO  ANO 2026]]&lt;=Fluxo_de_Caixa_Janeiro31020818[[#This Row],[Coluna1]],"VERDADEIRO","FALSO")</f>
        <v>VERDADEIRO</v>
      </c>
    </row>
    <row r="315" spans="2:19" ht="19.5" thickBot="1" x14ac:dyDescent="0.35">
      <c r="B315" s="168" t="str">
        <f>Fluxo_de_Caixa_Janeiro[[#This Row],[Fluxo de Caixa 2026 CTR]]</f>
        <v>5.3. INVESTIMENTO EM IMOBILIZADOS</v>
      </c>
      <c r="C315" s="158">
        <f>Fluxo_de_Caixa_Janeiro[[#This Row],[Janeiro]]</f>
        <v>0</v>
      </c>
      <c r="D315" s="97">
        <f>Fluxo_de_Caixa_Janeiro3[[#This Row],[Fevereiro]]</f>
        <v>-1450</v>
      </c>
      <c r="E315" s="97">
        <f>Fluxo_de_Caixa_Janeiro34[[#This Row],[Março]]</f>
        <v>-11750.66</v>
      </c>
      <c r="F315" s="97">
        <f>Fluxo_de_Caixa_Janeiro345[[#This Row],[ABRIL]]</f>
        <v>-11641.8</v>
      </c>
      <c r="G315" s="97">
        <f>Fluxo_de_Caixa_Janeiro3459[[#This Row],[MAIO]]</f>
        <v>-11423.84</v>
      </c>
      <c r="H315" s="97">
        <f>Fluxo_de_Caixa_Janeiro345911[[#This Row],[JUNHO]]</f>
        <v>0</v>
      </c>
      <c r="I315" s="158">
        <f>Fluxo_de_Caixa_Janeiro3459117[[#This Row],[JULHO]]</f>
        <v>0</v>
      </c>
      <c r="J315" s="97">
        <f>Fluxo_de_Caixa_Janeiro345911710[[#This Row],[AGOSTO]]</f>
        <v>0</v>
      </c>
      <c r="K315" s="97">
        <f>Fluxo_de_Caixa_Janeiro34591171012[[#This Row],[SETEMBRO]]</f>
        <v>0</v>
      </c>
      <c r="L315" s="97">
        <f>Fluxo_de_Caixa_Janeiro3459117101215[[#This Row],[OUTUBRO]]</f>
        <v>0</v>
      </c>
      <c r="M315" s="97">
        <f>Fluxo_de_Caixa_Janeiro345911710121516[[#This Row],[NOVEMBRO]]</f>
        <v>0</v>
      </c>
      <c r="N315" s="129">
        <f>Fluxo_de_Caixa_Janeiro34591171012151619[[#This Row],[DEZEMBRO]]</f>
        <v>0</v>
      </c>
      <c r="O315" s="226">
        <f>SUM(Fluxo_de_Caixa_Janeiro31020818[[#This Row],[Janeiro]:[Dezembro]])</f>
        <v>-36266.300000000003</v>
      </c>
      <c r="P315" s="144">
        <f>-IFERROR(O315/$O$332,"0,00")</f>
        <v>6.6322915421956462E-3</v>
      </c>
      <c r="Q315" s="144"/>
      <c r="R315" s="32" t="str">
        <f>IF(Fluxo_de_Caixa_Janeiro31020818[[#This Row],[% ACUMULADO  ANO 2026]]&lt;=Fluxo_de_Caixa_Janeiro31020818[[#This Row],[Coluna1]],"VERDADEIRO","FALSO")</f>
        <v>FALSO</v>
      </c>
      <c r="S315" s="287">
        <f>O294+Fluxo_de_Caixa_Janeiro31020818[[#This Row],[Total ano]]</f>
        <v>-792854.7</v>
      </c>
    </row>
    <row r="316" spans="2:19" ht="15" customHeight="1" x14ac:dyDescent="0.25">
      <c r="B316" s="279" t="str">
        <f>Fluxo_de_Caixa_Janeiro[[#This Row],[Fluxo de Caixa 2026 CTR]]</f>
        <v>5.3.01.MOVEIS E UTENSI. IMOBILIZADOS</v>
      </c>
      <c r="C316" s="162">
        <f>Fluxo_de_Caixa_Janeiro[[#This Row],[Janeiro]]</f>
        <v>0</v>
      </c>
      <c r="D316" s="104">
        <f>Fluxo_de_Caixa_Janeiro3[[#This Row],[Fevereiro]]</f>
        <v>0</v>
      </c>
      <c r="E316" s="104">
        <f>Fluxo_de_Caixa_Janeiro34[[#This Row],[Março]]</f>
        <v>5270</v>
      </c>
      <c r="F316" s="104">
        <f>Fluxo_de_Caixa_Janeiro345[[#This Row],[ABRIL]]</f>
        <v>1929</v>
      </c>
      <c r="G316" s="104">
        <f>Fluxo_de_Caixa_Janeiro3459[[#This Row],[MAIO]]</f>
        <v>0</v>
      </c>
      <c r="H316" s="104">
        <f>Fluxo_de_Caixa_Janeiro345911[[#This Row],[JUNHO]]</f>
        <v>0</v>
      </c>
      <c r="I316" s="162">
        <f>Fluxo_de_Caixa_Janeiro3459117[[#This Row],[JULHO]]</f>
        <v>0</v>
      </c>
      <c r="J316" s="104">
        <f>Fluxo_de_Caixa_Janeiro345911710[[#This Row],[AGOSTO]]</f>
        <v>0</v>
      </c>
      <c r="K316" s="104">
        <f>Fluxo_de_Caixa_Janeiro34591171012[[#This Row],[SETEMBRO]]</f>
        <v>0</v>
      </c>
      <c r="L316" s="104">
        <f>Fluxo_de_Caixa_Janeiro3459117101215[[#This Row],[OUTUBRO]]</f>
        <v>0</v>
      </c>
      <c r="M316" s="104">
        <f>Fluxo_de_Caixa_Janeiro345911710121516[[#This Row],[NOVEMBRO]]</f>
        <v>0</v>
      </c>
      <c r="N316" s="133">
        <f>Fluxo_de_Caixa_Janeiro34591171012151619[[#This Row],[DEZEMBRO]]</f>
        <v>0</v>
      </c>
      <c r="O316" s="234">
        <f>SUM(Fluxo_de_Caixa_Janeiro31020818[[#This Row],[Janeiro]:[Dezembro]])</f>
        <v>7199</v>
      </c>
      <c r="P316" s="147">
        <f>IFERROR(O316/$O$332,"0,00")</f>
        <v>1.3165353733980707E-3</v>
      </c>
      <c r="Q316" s="147"/>
      <c r="R316" s="32" t="str">
        <f>IF(Fluxo_de_Caixa_Janeiro31020818[[#This Row],[% ACUMULADO  ANO 2026]]&lt;=Fluxo_de_Caixa_Janeiro31020818[[#This Row],[Coluna1]],"VERDADEIRO","FALSO")</f>
        <v>FALSO</v>
      </c>
    </row>
    <row r="317" spans="2:19" ht="15" customHeight="1" x14ac:dyDescent="0.25">
      <c r="B317" s="391" t="str">
        <f>Fluxo_de_Caixa_Janeiro[[#This Row],[Fluxo de Caixa 2026 CTR]]</f>
        <v>5.3.02.MAQUINAS E EQUIPAM. IMOBILIZADOS</v>
      </c>
      <c r="C317" s="372">
        <f>Fluxo_de_Caixa_Janeiro[[#This Row],[Janeiro]]</f>
        <v>0</v>
      </c>
      <c r="D317" s="374">
        <f>Fluxo_de_Caixa_Janeiro3[[#This Row],[Fevereiro]]</f>
        <v>1450</v>
      </c>
      <c r="E317" s="374">
        <f>Fluxo_de_Caixa_Janeiro34[[#This Row],[Março]]</f>
        <v>6480.66</v>
      </c>
      <c r="F317" s="374">
        <f>Fluxo_de_Caixa_Janeiro345[[#This Row],[ABRIL]]</f>
        <v>5637.8</v>
      </c>
      <c r="G317" s="374">
        <f>Fluxo_de_Caixa_Janeiro3459[[#This Row],[MAIO]]</f>
        <v>6423.84</v>
      </c>
      <c r="H317" s="374">
        <f>Fluxo_de_Caixa_Janeiro345911[[#This Row],[JUNHO]]</f>
        <v>0</v>
      </c>
      <c r="I317" s="372">
        <f>Fluxo_de_Caixa_Janeiro3459117[[#This Row],[JULHO]]</f>
        <v>0</v>
      </c>
      <c r="J317" s="374">
        <f>Fluxo_de_Caixa_Janeiro345911710[[#This Row],[AGOSTO]]</f>
        <v>0</v>
      </c>
      <c r="K317" s="374">
        <f>Fluxo_de_Caixa_Janeiro34591171012[[#This Row],[SETEMBRO]]</f>
        <v>0</v>
      </c>
      <c r="L317" s="374">
        <f>Fluxo_de_Caixa_Janeiro3459117101215[[#This Row],[OUTUBRO]]</f>
        <v>0</v>
      </c>
      <c r="M317" s="374">
        <f>Fluxo_de_Caixa_Janeiro345911710121516[[#This Row],[NOVEMBRO]]</f>
        <v>0</v>
      </c>
      <c r="N317" s="376">
        <f>Fluxo_de_Caixa_Janeiro34591171012151619[[#This Row],[DEZEMBRO]]</f>
        <v>0</v>
      </c>
      <c r="O317" s="234">
        <f>SUM(Fluxo_de_Caixa_Janeiro31020818[[#This Row],[Janeiro]:[Dezembro]])</f>
        <v>19992.3</v>
      </c>
      <c r="P317" s="147">
        <f>IFERROR(O317/$O$332,"0,00")</f>
        <v>3.656142540017537E-3</v>
      </c>
      <c r="Q317" s="147"/>
      <c r="R317" s="32"/>
    </row>
    <row r="318" spans="2:19" ht="15" customHeight="1" x14ac:dyDescent="0.25">
      <c r="B318" s="391" t="str">
        <f>Fluxo_de_Caixa_Janeiro[[#This Row],[Fluxo de Caixa 2026 CTR]]</f>
        <v>5.3.03.EQUIP. INFORMATICA IMOBILIZADOS</v>
      </c>
      <c r="C318" s="379">
        <f>Fluxo_de_Caixa_Janeiro[[#This Row],[Janeiro]]</f>
        <v>0</v>
      </c>
      <c r="D318" s="381">
        <f>Fluxo_de_Caixa_Janeiro3[[#This Row],[Fevereiro]]</f>
        <v>0</v>
      </c>
      <c r="E318" s="381">
        <f>Fluxo_de_Caixa_Janeiro34[[#This Row],[Março]]</f>
        <v>0</v>
      </c>
      <c r="F318" s="381">
        <f>Fluxo_de_Caixa_Janeiro345[[#This Row],[ABRIL]]</f>
        <v>4075</v>
      </c>
      <c r="G318" s="381">
        <f>Fluxo_de_Caixa_Janeiro3459[[#This Row],[MAIO]]</f>
        <v>0</v>
      </c>
      <c r="H318" s="381">
        <f>Fluxo_de_Caixa_Janeiro345911[[#This Row],[JUNHO]]</f>
        <v>0</v>
      </c>
      <c r="I318" s="379">
        <f>Fluxo_de_Caixa_Janeiro3459117[[#This Row],[JULHO]]</f>
        <v>0</v>
      </c>
      <c r="J318" s="381">
        <f>Fluxo_de_Caixa_Janeiro345911710[[#This Row],[AGOSTO]]</f>
        <v>0</v>
      </c>
      <c r="K318" s="381">
        <f>Fluxo_de_Caixa_Janeiro34591171012[[#This Row],[SETEMBRO]]</f>
        <v>0</v>
      </c>
      <c r="L318" s="381">
        <f>Fluxo_de_Caixa_Janeiro3459117101215[[#This Row],[OUTUBRO]]</f>
        <v>0</v>
      </c>
      <c r="M318" s="381">
        <f>Fluxo_de_Caixa_Janeiro345911710121516[[#This Row],[NOVEMBRO]]</f>
        <v>0</v>
      </c>
      <c r="N318" s="383">
        <f>Fluxo_de_Caixa_Janeiro34591171012151619[[#This Row],[DEZEMBRO]]</f>
        <v>0</v>
      </c>
      <c r="O318" s="234">
        <f>SUM(Fluxo_de_Caixa_Janeiro31020818[[#This Row],[Janeiro]:[Dezembro]])</f>
        <v>4075</v>
      </c>
      <c r="P318" s="147">
        <f>IFERROR(O318/$O$332,"0,00")</f>
        <v>7.4522595452106372E-4</v>
      </c>
      <c r="Q318" s="147"/>
      <c r="R318" s="32"/>
      <c r="S318" s="287"/>
    </row>
    <row r="319" spans="2:19" ht="15" customHeight="1" x14ac:dyDescent="0.25">
      <c r="B319" s="391" t="str">
        <f>Fluxo_de_Caixa_Janeiro[[#This Row],[Fluxo de Caixa 2026 CTR]]</f>
        <v>5.3.05.AQUISICAO DE VEICU PESADO-IMOB</v>
      </c>
      <c r="C319" s="379">
        <f>Fluxo_de_Caixa_Janeiro[[#This Row],[Janeiro]]</f>
        <v>0</v>
      </c>
      <c r="D319" s="381">
        <f>Fluxo_de_Caixa_Janeiro3[[#This Row],[Fevereiro]]</f>
        <v>0</v>
      </c>
      <c r="E319" s="381">
        <f>Fluxo_de_Caixa_Janeiro34[[#This Row],[Março]]</f>
        <v>0</v>
      </c>
      <c r="F319" s="381">
        <f>Fluxo_de_Caixa_Janeiro345[[#This Row],[ABRIL]]</f>
        <v>0</v>
      </c>
      <c r="G319" s="381">
        <f>Fluxo_de_Caixa_Janeiro3459[[#This Row],[MAIO]]</f>
        <v>0</v>
      </c>
      <c r="H319" s="381">
        <f>Fluxo_de_Caixa_Janeiro345911[[#This Row],[JUNHO]]</f>
        <v>0</v>
      </c>
      <c r="I319" s="379">
        <f>Fluxo_de_Caixa_Janeiro3459117[[#This Row],[JULHO]]</f>
        <v>0</v>
      </c>
      <c r="J319" s="381">
        <f>Fluxo_de_Caixa_Janeiro345911710[[#This Row],[AGOSTO]]</f>
        <v>0</v>
      </c>
      <c r="K319" s="381">
        <f>Fluxo_de_Caixa_Janeiro34591171012[[#This Row],[SETEMBRO]]</f>
        <v>0</v>
      </c>
      <c r="L319" s="381">
        <f>Fluxo_de_Caixa_Janeiro3459117101215[[#This Row],[OUTUBRO]]</f>
        <v>0</v>
      </c>
      <c r="M319" s="381">
        <f>Fluxo_de_Caixa_Janeiro345911710121516[[#This Row],[NOVEMBRO]]</f>
        <v>0</v>
      </c>
      <c r="N319" s="383">
        <f>Fluxo_de_Caixa_Janeiro34591171012151619[[#This Row],[DEZEMBRO]]</f>
        <v>0</v>
      </c>
      <c r="O319" s="234">
        <f>SUM(Fluxo_de_Caixa_Janeiro31020818[[#This Row],[Janeiro]:[Dezembro]])</f>
        <v>0</v>
      </c>
      <c r="P319" s="147">
        <f>IFERROR(O319/$O$332,"0,00")</f>
        <v>0</v>
      </c>
      <c r="Q319" s="147"/>
      <c r="R319" s="32"/>
    </row>
    <row r="320" spans="2:19" ht="15" customHeight="1" thickBot="1" x14ac:dyDescent="0.3">
      <c r="B320" s="391" t="str">
        <f>Fluxo_de_Caixa_Janeiro[[#This Row],[Fluxo de Caixa 2026 CTR]]</f>
        <v>5.3.06.AQUISICAO DE OUTROS VEICUL-IMOB</v>
      </c>
      <c r="C320" s="379">
        <f>Fluxo_de_Caixa_Janeiro[[#This Row],[Janeiro]]</f>
        <v>0</v>
      </c>
      <c r="D320" s="381">
        <f>Fluxo_de_Caixa_Janeiro3[[#This Row],[Fevereiro]]</f>
        <v>0</v>
      </c>
      <c r="E320" s="381">
        <f>Fluxo_de_Caixa_Janeiro34[[#This Row],[Março]]</f>
        <v>0</v>
      </c>
      <c r="F320" s="381">
        <f>Fluxo_de_Caixa_Janeiro345[[#This Row],[ABRIL]]</f>
        <v>0</v>
      </c>
      <c r="G320" s="381">
        <f>Fluxo_de_Caixa_Janeiro3459[[#This Row],[MAIO]]</f>
        <v>5000</v>
      </c>
      <c r="H320" s="381">
        <f>Fluxo_de_Caixa_Janeiro345911[[#This Row],[JUNHO]]</f>
        <v>0</v>
      </c>
      <c r="I320" s="379">
        <f>Fluxo_de_Caixa_Janeiro3459117[[#This Row],[JULHO]]</f>
        <v>0</v>
      </c>
      <c r="J320" s="381">
        <f>Fluxo_de_Caixa_Janeiro345911710[[#This Row],[AGOSTO]]</f>
        <v>0</v>
      </c>
      <c r="K320" s="381">
        <f>Fluxo_de_Caixa_Janeiro34591171012[[#This Row],[SETEMBRO]]</f>
        <v>0</v>
      </c>
      <c r="L320" s="381">
        <f>Fluxo_de_Caixa_Janeiro3459117101215[[#This Row],[OUTUBRO]]</f>
        <v>0</v>
      </c>
      <c r="M320" s="381">
        <f>Fluxo_de_Caixa_Janeiro345911710121516[[#This Row],[NOVEMBRO]]</f>
        <v>0</v>
      </c>
      <c r="N320" s="383">
        <f>Fluxo_de_Caixa_Janeiro34591171012151619[[#This Row],[DEZEMBRO]]</f>
        <v>0</v>
      </c>
      <c r="O320" s="234">
        <f>SUM(Fluxo_de_Caixa_Janeiro31020818[[#This Row],[Janeiro]:[Dezembro]])</f>
        <v>5000</v>
      </c>
      <c r="P320" s="147">
        <f>IFERROR(O320/$O$332,"0,00")</f>
        <v>9.1438767425897397E-4</v>
      </c>
      <c r="Q320" s="147"/>
      <c r="R320" s="32"/>
    </row>
    <row r="321" spans="2:221" ht="15" hidden="1" customHeight="1" thickBot="1" x14ac:dyDescent="0.3">
      <c r="B321" s="391">
        <f>Fluxo_de_Caixa_Janeiro[[#This Row],[Fluxo de Caixa 2026 CTR]]</f>
        <v>0</v>
      </c>
      <c r="C321" s="379">
        <f>Fluxo_de_Caixa_Janeiro[[#This Row],[Janeiro]]</f>
        <v>0</v>
      </c>
      <c r="D321" s="381">
        <f>Fluxo_de_Caixa_Janeiro3[[#This Row],[Fevereiro]]</f>
        <v>0</v>
      </c>
      <c r="E321" s="381">
        <f>Fluxo_de_Caixa_Janeiro34[[#This Row],[Março]]</f>
        <v>0</v>
      </c>
      <c r="F321" s="381">
        <f>Fluxo_de_Caixa_Janeiro345[[#This Row],[ABRIL]]</f>
        <v>0</v>
      </c>
      <c r="G321" s="381">
        <f>Fluxo_de_Caixa_Janeiro3459[[#This Row],[MAIO]]</f>
        <v>0</v>
      </c>
      <c r="H321" s="381">
        <f>Fluxo_de_Caixa_Janeiro345911[[#This Row],[JUNHO]]</f>
        <v>0</v>
      </c>
      <c r="I321" s="379">
        <f>Fluxo_de_Caixa_Janeiro3459117[[#This Row],[JULHO]]</f>
        <v>0</v>
      </c>
      <c r="J321" s="381">
        <f>Fluxo_de_Caixa_Janeiro345911710[[#This Row],[AGOSTO]]</f>
        <v>0</v>
      </c>
      <c r="K321" s="381">
        <f>Fluxo_de_Caixa_Janeiro34591171012[[#This Row],[SETEMBRO]]</f>
        <v>0</v>
      </c>
      <c r="L321" s="381">
        <f>Fluxo_de_Caixa_Janeiro3459117101215[[#This Row],[OUTUBRO]]</f>
        <v>0</v>
      </c>
      <c r="M321" s="381">
        <f>Fluxo_de_Caixa_Janeiro345911710121516[[#This Row],[NOVEMBRO]]</f>
        <v>0</v>
      </c>
      <c r="N321" s="383">
        <f>Fluxo_de_Caixa_Janeiro34591171012151619[[#This Row],[DEZEMBRO]]</f>
        <v>0</v>
      </c>
      <c r="O321" s="234">
        <f>SUM(Fluxo_de_Caixa_Janeiro31020818[[#This Row],[Janeiro]:[Dezembro]])</f>
        <v>0</v>
      </c>
      <c r="P321" s="147">
        <f>-IFERROR(O321/$O$332,"0,00")</f>
        <v>0</v>
      </c>
      <c r="Q321" s="147"/>
      <c r="R321" s="32"/>
    </row>
    <row r="322" spans="2:221" ht="19.5" thickBot="1" x14ac:dyDescent="0.35">
      <c r="B322" s="168" t="str">
        <f>Fluxo_de_Caixa_Janeiro[[#This Row],[Fluxo de Caixa 2026 CTR]]</f>
        <v>5.4. DISTRIBUIÇÃO DE LUCROS E RESULTADOS</v>
      </c>
      <c r="C322" s="158">
        <f>Fluxo_de_Caixa_Janeiro[[#This Row],[Janeiro]]</f>
        <v>-1415.37</v>
      </c>
      <c r="D322" s="97">
        <f>Fluxo_de_Caixa_Janeiro3[[#This Row],[Fevereiro]]</f>
        <v>-8004.07</v>
      </c>
      <c r="E322" s="97">
        <f>Fluxo_de_Caixa_Janeiro34[[#This Row],[Março]]</f>
        <v>-2462.88</v>
      </c>
      <c r="F322" s="97">
        <f>Fluxo_de_Caixa_Janeiro345[[#This Row],[ABRIL]]</f>
        <v>-6578.51</v>
      </c>
      <c r="G322" s="97">
        <f>Fluxo_de_Caixa_Janeiro3459[[#This Row],[MAIO]]</f>
        <v>-8001.85</v>
      </c>
      <c r="H322" s="97">
        <f>Fluxo_de_Caixa_Janeiro345911[[#This Row],[JUNHO]]</f>
        <v>0</v>
      </c>
      <c r="I322" s="158">
        <f>Fluxo_de_Caixa_Janeiro3459117[[#This Row],[JULHO]]</f>
        <v>0</v>
      </c>
      <c r="J322" s="97">
        <f>Fluxo_de_Caixa_Janeiro345911710[[#This Row],[AGOSTO]]</f>
        <v>0</v>
      </c>
      <c r="K322" s="97">
        <f>Fluxo_de_Caixa_Janeiro34591171012[[#This Row],[SETEMBRO]]</f>
        <v>0</v>
      </c>
      <c r="L322" s="97">
        <f>Fluxo_de_Caixa_Janeiro3459117101215[[#This Row],[OUTUBRO]]</f>
        <v>0</v>
      </c>
      <c r="M322" s="97">
        <f>Fluxo_de_Caixa_Janeiro345911710121516[[#This Row],[NOVEMBRO]]</f>
        <v>0</v>
      </c>
      <c r="N322" s="129">
        <f>Fluxo_de_Caixa_Janeiro34591171012151619[[#This Row],[DEZEMBRO]]</f>
        <v>0</v>
      </c>
      <c r="O322" s="226">
        <f>SUM(Fluxo_de_Caixa_Janeiro31020818[[#This Row],[Janeiro]:[Dezembro]])</f>
        <v>-26462.68</v>
      </c>
      <c r="P322" s="144">
        <f>-IFERROR(O322/$O$332,"0,00")</f>
        <v>4.8394296839718931E-3</v>
      </c>
      <c r="Q322" s="144"/>
      <c r="R322" s="32"/>
    </row>
    <row r="323" spans="2:221" ht="15" customHeight="1" x14ac:dyDescent="0.25">
      <c r="B323" s="391" t="str">
        <f>Fluxo_de_Caixa_Janeiro[[#This Row],[Fluxo de Caixa 2026 CTR]]</f>
        <v>5.4.01.DISTRIBUICAO DE LUCROS SOCIOS</v>
      </c>
      <c r="C323" s="380">
        <f>Fluxo_de_Caixa_Janeiro[[#This Row],[Janeiro]]</f>
        <v>0</v>
      </c>
      <c r="D323" s="382">
        <f>Fluxo_de_Caixa_Janeiro3[[#This Row],[Fevereiro]]</f>
        <v>0</v>
      </c>
      <c r="E323" s="382">
        <f>Fluxo_de_Caixa_Janeiro34[[#This Row],[Março]]</f>
        <v>0</v>
      </c>
      <c r="F323" s="382">
        <f>Fluxo_de_Caixa_Janeiro345[[#This Row],[ABRIL]]</f>
        <v>0</v>
      </c>
      <c r="G323" s="382">
        <f>Fluxo_de_Caixa_Janeiro3459[[#This Row],[MAIO]]</f>
        <v>0</v>
      </c>
      <c r="H323" s="382">
        <f>Fluxo_de_Caixa_Janeiro345911[[#This Row],[JUNHO]]</f>
        <v>0</v>
      </c>
      <c r="I323" s="380">
        <f>Fluxo_de_Caixa_Janeiro3459117[[#This Row],[JULHO]]</f>
        <v>0</v>
      </c>
      <c r="J323" s="382">
        <f>Fluxo_de_Caixa_Janeiro345911710[[#This Row],[AGOSTO]]</f>
        <v>0</v>
      </c>
      <c r="K323" s="382">
        <f>Fluxo_de_Caixa_Janeiro34591171012[[#This Row],[SETEMBRO]]</f>
        <v>0</v>
      </c>
      <c r="L323" s="382">
        <f>Fluxo_de_Caixa_Janeiro3459117101215[[#This Row],[OUTUBRO]]</f>
        <v>0</v>
      </c>
      <c r="M323" s="382">
        <f>Fluxo_de_Caixa_Janeiro345911710121516[[#This Row],[NOVEMBRO]]</f>
        <v>0</v>
      </c>
      <c r="N323" s="384">
        <f>Fluxo_de_Caixa_Janeiro34591171012151619[[#This Row],[DEZEMBRO]]</f>
        <v>0</v>
      </c>
      <c r="O323" s="235">
        <f>SUM(Fluxo_de_Caixa_Janeiro31020818[[#This Row],[Janeiro]:[Dezembro]])</f>
        <v>0</v>
      </c>
      <c r="P323" s="26">
        <f>IFERROR(O323/$O$332,"0,00")</f>
        <v>0</v>
      </c>
      <c r="Q323" s="26"/>
      <c r="R323" s="32"/>
    </row>
    <row r="324" spans="2:221" ht="15" customHeight="1" x14ac:dyDescent="0.25">
      <c r="B324" s="270" t="str">
        <f>Fluxo_de_Caixa_Janeiro[[#This Row],[Fluxo de Caixa 2026 CTR]]</f>
        <v>5.4.02.COMBUST E LUBRIFICANT - DIRETORIA</v>
      </c>
      <c r="C324" s="45">
        <f>Fluxo_de_Caixa_Janeiro[[#This Row],[Janeiro]]</f>
        <v>0</v>
      </c>
      <c r="D324" s="80">
        <f>Fluxo_de_Caixa_Janeiro3[[#This Row],[Fevereiro]]</f>
        <v>0</v>
      </c>
      <c r="E324" s="80">
        <f>Fluxo_de_Caixa_Janeiro34[[#This Row],[Março]]</f>
        <v>0</v>
      </c>
      <c r="F324" s="80">
        <f>Fluxo_de_Caixa_Janeiro345[[#This Row],[ABRIL]]</f>
        <v>0</v>
      </c>
      <c r="G324" s="80">
        <f>Fluxo_de_Caixa_Janeiro3459[[#This Row],[MAIO]]</f>
        <v>0</v>
      </c>
      <c r="H324" s="80">
        <f>Fluxo_de_Caixa_Janeiro345911[[#This Row],[JUNHO]]</f>
        <v>0</v>
      </c>
      <c r="I324" s="45">
        <f>Fluxo_de_Caixa_Janeiro3459117[[#This Row],[JULHO]]</f>
        <v>0</v>
      </c>
      <c r="J324" s="80">
        <f>Fluxo_de_Caixa_Janeiro345911710[[#This Row],[AGOSTO]]</f>
        <v>0</v>
      </c>
      <c r="K324" s="80">
        <f>Fluxo_de_Caixa_Janeiro34591171012[[#This Row],[SETEMBRO]]</f>
        <v>0</v>
      </c>
      <c r="L324" s="80">
        <f>Fluxo_de_Caixa_Janeiro3459117101215[[#This Row],[OUTUBRO]]</f>
        <v>0</v>
      </c>
      <c r="M324" s="80">
        <f>Fluxo_de_Caixa_Janeiro345911710121516[[#This Row],[NOVEMBRO]]</f>
        <v>0</v>
      </c>
      <c r="N324" s="134">
        <f>Fluxo_de_Caixa_Janeiro34591171012151619[[#This Row],[DEZEMBRO]]</f>
        <v>0</v>
      </c>
      <c r="O324" s="235">
        <f>SUM(Fluxo_de_Caixa_Janeiro31020818[[#This Row],[Janeiro]:[Dezembro]])</f>
        <v>0</v>
      </c>
      <c r="P324" s="26">
        <f>IFERROR(O324/$O$332,"0,00")</f>
        <v>0</v>
      </c>
      <c r="Q324" s="26"/>
      <c r="R324" s="32" t="str">
        <f>IF(Fluxo_de_Caixa_Janeiro31020818[[#This Row],[% ACUMULADO  ANO 2026]]&lt;=Fluxo_de_Caixa_Janeiro31020818[[#This Row],[Coluna1]],"VERDADEIRO","FALSO")</f>
        <v>VERDADEIRO</v>
      </c>
    </row>
    <row r="325" spans="2:221" ht="15" customHeight="1" x14ac:dyDescent="0.25">
      <c r="B325" s="270" t="str">
        <f>Fluxo_de_Caixa_Janeiro[[#This Row],[Fluxo de Caixa 2026 CTR]]</f>
        <v>5.4.03.VIAGENS E ESTADAS - DIRETORIA</v>
      </c>
      <c r="C325" s="45">
        <f>Fluxo_de_Caixa_Janeiro[[#This Row],[Janeiro]]</f>
        <v>0</v>
      </c>
      <c r="D325" s="80">
        <f>Fluxo_de_Caixa_Janeiro3[[#This Row],[Fevereiro]]</f>
        <v>0</v>
      </c>
      <c r="E325" s="80">
        <f>Fluxo_de_Caixa_Janeiro34[[#This Row],[Março]]</f>
        <v>2462.88</v>
      </c>
      <c r="F325" s="80">
        <f>Fluxo_de_Caixa_Janeiro345[[#This Row],[ABRIL]]</f>
        <v>2008.2</v>
      </c>
      <c r="G325" s="80">
        <f>Fluxo_de_Caixa_Janeiro3459[[#This Row],[MAIO]]</f>
        <v>8001.85</v>
      </c>
      <c r="H325" s="80">
        <f>Fluxo_de_Caixa_Janeiro345911[[#This Row],[JUNHO]]</f>
        <v>0</v>
      </c>
      <c r="I325" s="45">
        <f>Fluxo_de_Caixa_Janeiro3459117[[#This Row],[JULHO]]</f>
        <v>0</v>
      </c>
      <c r="J325" s="80">
        <f>Fluxo_de_Caixa_Janeiro345911710[[#This Row],[AGOSTO]]</f>
        <v>0</v>
      </c>
      <c r="K325" s="80">
        <f>Fluxo_de_Caixa_Janeiro34591171012[[#This Row],[SETEMBRO]]</f>
        <v>0</v>
      </c>
      <c r="L325" s="80">
        <f>Fluxo_de_Caixa_Janeiro3459117101215[[#This Row],[OUTUBRO]]</f>
        <v>0</v>
      </c>
      <c r="M325" s="80">
        <f>Fluxo_de_Caixa_Janeiro345911710121516[[#This Row],[NOVEMBRO]]</f>
        <v>0</v>
      </c>
      <c r="N325" s="134">
        <f>Fluxo_de_Caixa_Janeiro34591171012151619[[#This Row],[DEZEMBRO]]</f>
        <v>0</v>
      </c>
      <c r="O325" s="235">
        <f>SUM(Fluxo_de_Caixa_Janeiro31020818[[#This Row],[Janeiro]:[Dezembro]])</f>
        <v>12472.93</v>
      </c>
      <c r="P325" s="26">
        <f>IFERROR(O325/$O$332,"0,00")</f>
        <v>2.281018690778997E-3</v>
      </c>
      <c r="Q325" s="26"/>
      <c r="R325" s="32" t="str">
        <f>IF(Fluxo_de_Caixa_Janeiro31020818[[#This Row],[% ACUMULADO  ANO 2026]]&lt;=Fluxo_de_Caixa_Janeiro31020818[[#This Row],[Coluna1]],"VERDADEIRO","FALSO")</f>
        <v>FALSO</v>
      </c>
    </row>
    <row r="326" spans="2:221" ht="15" customHeight="1" thickBot="1" x14ac:dyDescent="0.3">
      <c r="B326" s="270" t="str">
        <f>Fluxo_de_Caixa_Janeiro[[#This Row],[Fluxo de Caixa 2026 CTR]]</f>
        <v>5.4.04.DISTRIBUIÇÃO DE LUCROS E RESULTADOS</v>
      </c>
      <c r="C326" s="45">
        <f>Fluxo_de_Caixa_Janeiro[[#This Row],[Janeiro]]</f>
        <v>1415.37</v>
      </c>
      <c r="D326" s="80">
        <f>Fluxo_de_Caixa_Janeiro3[[#This Row],[Fevereiro]]</f>
        <v>8004.07</v>
      </c>
      <c r="E326" s="80">
        <f>Fluxo_de_Caixa_Janeiro34[[#This Row],[Março]]</f>
        <v>0</v>
      </c>
      <c r="F326" s="80">
        <f>Fluxo_de_Caixa_Janeiro345[[#This Row],[ABRIL]]</f>
        <v>4570.3100000000004</v>
      </c>
      <c r="G326" s="80">
        <f>Fluxo_de_Caixa_Janeiro3459[[#This Row],[MAIO]]</f>
        <v>0</v>
      </c>
      <c r="H326" s="80">
        <f>Fluxo_de_Caixa_Janeiro345911[[#This Row],[JUNHO]]</f>
        <v>0</v>
      </c>
      <c r="I326" s="45">
        <f>Fluxo_de_Caixa_Janeiro3459117[[#This Row],[JULHO]]</f>
        <v>0</v>
      </c>
      <c r="J326" s="80">
        <f>Fluxo_de_Caixa_Janeiro345911710[[#This Row],[AGOSTO]]</f>
        <v>0</v>
      </c>
      <c r="K326" s="80">
        <f>Fluxo_de_Caixa_Janeiro34591171012[[#This Row],[SETEMBRO]]</f>
        <v>0</v>
      </c>
      <c r="L326" s="80">
        <f>Fluxo_de_Caixa_Janeiro3459117101215[[#This Row],[OUTUBRO]]</f>
        <v>0</v>
      </c>
      <c r="M326" s="80">
        <f>Fluxo_de_Caixa_Janeiro345911710121516[[#This Row],[NOVEMBRO]]</f>
        <v>0</v>
      </c>
      <c r="N326" s="134">
        <f>Fluxo_de_Caixa_Janeiro34591171012151619[[#This Row],[DEZEMBRO]]</f>
        <v>0</v>
      </c>
      <c r="O326" s="235">
        <f>SUM(Fluxo_de_Caixa_Janeiro31020818[[#This Row],[Janeiro]:[Dezembro]])</f>
        <v>13989.75</v>
      </c>
      <c r="P326" s="26">
        <f>IFERROR(O326/$O$332,"0,00")</f>
        <v>2.5584109931928961E-3</v>
      </c>
      <c r="Q326" s="26"/>
      <c r="R326" s="32" t="str">
        <f>IF(Fluxo_de_Caixa_Janeiro31020818[[#This Row],[% ACUMULADO  ANO 2026]]&lt;=Fluxo_de_Caixa_Janeiro31020818[[#This Row],[Coluna1]],"VERDADEIRO","FALSO")</f>
        <v>FALSO</v>
      </c>
    </row>
    <row r="327" spans="2:221" ht="15" hidden="1" customHeight="1" x14ac:dyDescent="0.25">
      <c r="B327" s="270">
        <f>Fluxo_de_Caixa_Janeiro[[#This Row],[Fluxo de Caixa 2026 CTR]]</f>
        <v>0</v>
      </c>
      <c r="C327" s="45">
        <f>Fluxo_de_Caixa_Janeiro[[#This Row],[Janeiro]]</f>
        <v>0</v>
      </c>
      <c r="D327" s="80">
        <f>Fluxo_de_Caixa_Janeiro3[[#This Row],[Fevereiro]]</f>
        <v>0</v>
      </c>
      <c r="E327" s="80">
        <f>Fluxo_de_Caixa_Janeiro34[[#This Row],[Março]]</f>
        <v>0</v>
      </c>
      <c r="F327" s="80">
        <f>Fluxo_de_Caixa_Janeiro345[[#This Row],[ABRIL]]</f>
        <v>0</v>
      </c>
      <c r="G327" s="80">
        <f>Fluxo_de_Caixa_Janeiro3459[[#This Row],[MAIO]]</f>
        <v>0</v>
      </c>
      <c r="H327" s="80">
        <f>Fluxo_de_Caixa_Janeiro345911[[#This Row],[JUNHO]]</f>
        <v>0</v>
      </c>
      <c r="I327" s="45">
        <f>Fluxo_de_Caixa_Janeiro3459117[[#This Row],[JULHO]]</f>
        <v>0</v>
      </c>
      <c r="J327" s="80">
        <f>Fluxo_de_Caixa_Janeiro345911710[[#This Row],[AGOSTO]]</f>
        <v>0</v>
      </c>
      <c r="K327" s="80">
        <f>Fluxo_de_Caixa_Janeiro34591171012[[#This Row],[SETEMBRO]]</f>
        <v>0</v>
      </c>
      <c r="L327" s="80">
        <f>Fluxo_de_Caixa_Janeiro3459117101215[[#This Row],[OUTUBRO]]</f>
        <v>0</v>
      </c>
      <c r="M327" s="80">
        <f>Fluxo_de_Caixa_Janeiro345911710121516[[#This Row],[NOVEMBRO]]</f>
        <v>0</v>
      </c>
      <c r="N327" s="134">
        <f>Fluxo_de_Caixa_Janeiro34591171012151619[[#This Row],[DEZEMBRO]]</f>
        <v>0</v>
      </c>
      <c r="O327" s="235">
        <f>SUM(Fluxo_de_Caixa_Janeiro31020818[[#This Row],[Janeiro]:[Dezembro]])</f>
        <v>0</v>
      </c>
      <c r="P327" s="26">
        <f>IFERROR(O327/$O$332,"0,00")</f>
        <v>0</v>
      </c>
      <c r="Q327" s="26"/>
      <c r="R327" s="32" t="str">
        <f>IF(Fluxo_de_Caixa_Janeiro31020818[[#This Row],[% ACUMULADO  ANO 2026]]&lt;=Fluxo_de_Caixa_Janeiro31020818[[#This Row],[Coluna1]],"VERDADEIRO","FALSO")</f>
        <v>VERDADEIRO</v>
      </c>
    </row>
    <row r="328" spans="2:221" ht="15" hidden="1" customHeight="1" x14ac:dyDescent="0.25">
      <c r="B328" s="270">
        <f>Fluxo_de_Caixa_Janeiro[[#This Row],[Fluxo de Caixa 2026 CTR]]</f>
        <v>0</v>
      </c>
      <c r="C328" s="45">
        <f>Fluxo_de_Caixa_Janeiro[[#This Row],[Janeiro]]</f>
        <v>0</v>
      </c>
      <c r="D328" s="80">
        <f>Fluxo_de_Caixa_Janeiro3[[#This Row],[Fevereiro]]</f>
        <v>0</v>
      </c>
      <c r="E328" s="80">
        <f>Fluxo_de_Caixa_Janeiro34[[#This Row],[Março]]</f>
        <v>0</v>
      </c>
      <c r="F328" s="80">
        <f>Fluxo_de_Caixa_Janeiro345[[#This Row],[ABRIL]]</f>
        <v>0</v>
      </c>
      <c r="G328" s="80">
        <f>Fluxo_de_Caixa_Janeiro3459[[#This Row],[MAIO]]</f>
        <v>0</v>
      </c>
      <c r="H328" s="80">
        <f>Fluxo_de_Caixa_Janeiro345911[[#This Row],[JUNHO]]</f>
        <v>0</v>
      </c>
      <c r="I328" s="45">
        <f>Fluxo_de_Caixa_Janeiro3459117[[#This Row],[JULHO]]</f>
        <v>0</v>
      </c>
      <c r="J328" s="80">
        <f>Fluxo_de_Caixa_Janeiro345911710[[#This Row],[AGOSTO]]</f>
        <v>0</v>
      </c>
      <c r="K328" s="80">
        <f>Fluxo_de_Caixa_Janeiro34591171012[[#This Row],[SETEMBRO]]</f>
        <v>0</v>
      </c>
      <c r="L328" s="80">
        <f>Fluxo_de_Caixa_Janeiro3459117101215[[#This Row],[OUTUBRO]]</f>
        <v>0</v>
      </c>
      <c r="M328" s="80">
        <f>Fluxo_de_Caixa_Janeiro345911710121516[[#This Row],[NOVEMBRO]]</f>
        <v>0</v>
      </c>
      <c r="N328" s="134">
        <f>Fluxo_de_Caixa_Janeiro34591171012151619[[#This Row],[DEZEMBRO]]</f>
        <v>0</v>
      </c>
      <c r="O328" s="235">
        <f>SUM(Fluxo_de_Caixa_Janeiro31020818[[#This Row],[Janeiro]:[Dezembro]])</f>
        <v>0</v>
      </c>
      <c r="P328" s="26">
        <f>IFERROR(O328/$C$332,"0,00%")</f>
        <v>0</v>
      </c>
      <c r="Q328" s="26"/>
      <c r="R328" s="32" t="str">
        <f>IF(Fluxo_de_Caixa_Janeiro31020818[[#This Row],[% ACUMULADO  ANO 2026]]&lt;=Fluxo_de_Caixa_Janeiro31020818[[#This Row],[Coluna1]],"VERDADEIRO","FALSO")</f>
        <v>VERDADEIRO</v>
      </c>
    </row>
    <row r="329" spans="2:221" ht="15" hidden="1" customHeight="1" thickBot="1" x14ac:dyDescent="0.3">
      <c r="B329" s="280">
        <f>Fluxo_de_Caixa_Janeiro[[#This Row],[Fluxo de Caixa 2026 CTR]]</f>
        <v>0</v>
      </c>
      <c r="C329" s="163">
        <f>Fluxo_de_Caixa_Janeiro[[#This Row],[Janeiro]]</f>
        <v>0</v>
      </c>
      <c r="D329" s="106">
        <f>Fluxo_de_Caixa_Janeiro3[[#This Row],[Fevereiro]]</f>
        <v>0</v>
      </c>
      <c r="E329" s="106">
        <f>Fluxo_de_Caixa_Janeiro34[[#This Row],[Março]]</f>
        <v>0</v>
      </c>
      <c r="F329" s="106">
        <f>Fluxo_de_Caixa_Janeiro345[[#This Row],[ABRIL]]</f>
        <v>0</v>
      </c>
      <c r="G329" s="106">
        <f>Fluxo_de_Caixa_Janeiro3459[[#This Row],[MAIO]]</f>
        <v>0</v>
      </c>
      <c r="H329" s="135">
        <f>Fluxo_de_Caixa_Janeiro345911[[#This Row],[JUNHO]]</f>
        <v>0</v>
      </c>
      <c r="I329" s="106">
        <f>Fluxo_de_Caixa_Janeiro3459117[[#This Row],[JULHO]]</f>
        <v>0</v>
      </c>
      <c r="J329" s="106">
        <f>Fluxo_de_Caixa_Janeiro345911710[[#This Row],[AGOSTO]]</f>
        <v>0</v>
      </c>
      <c r="K329" s="106">
        <f>Fluxo_de_Caixa_Janeiro34591171012[[#This Row],[SETEMBRO]]</f>
        <v>0</v>
      </c>
      <c r="L329" s="106">
        <f>Fluxo_de_Caixa_Janeiro3459117101215[[#This Row],[OUTUBRO]]</f>
        <v>0</v>
      </c>
      <c r="M329" s="106">
        <f>Fluxo_de_Caixa_Janeiro345911710121516[[#This Row],[NOVEMBRO]]</f>
        <v>0</v>
      </c>
      <c r="N329" s="135">
        <f>Fluxo_de_Caixa_Janeiro34591171012151619[[#This Row],[DEZEMBRO]]</f>
        <v>0</v>
      </c>
      <c r="O329" s="236">
        <f>SUM(Fluxo_de_Caixa_Janeiro31020818[[#This Row],[Janeiro]:[Dezembro]])</f>
        <v>0</v>
      </c>
      <c r="P329" s="148">
        <f>IFERROR(O329/$C$332,"0,00%")</f>
        <v>0</v>
      </c>
      <c r="Q329" s="148"/>
      <c r="R329" s="32" t="str">
        <f>IF(Fluxo_de_Caixa_Janeiro31020818[[#This Row],[% ACUMULADO  ANO 2026]]&lt;=Fluxo_de_Caixa_Janeiro31020818[[#This Row],[Coluna1]],"VERDADEIRO","FALSO")</f>
        <v>VERDADEIRO</v>
      </c>
    </row>
    <row r="330" spans="2:221" s="4" customFormat="1" ht="24" thickBot="1" x14ac:dyDescent="0.4">
      <c r="B330" s="281" t="str">
        <f>Fluxo_de_Caixa_Janeiro[[#This Row],[Fluxo de Caixa 2026 CTR]]</f>
        <v>Total das Despesas Não Operacional</v>
      </c>
      <c r="C330" s="177">
        <f>Fluxo_de_Caixa_Janeiro[[#This Row],[Janeiro]]</f>
        <v>-32240.519999999997</v>
      </c>
      <c r="D330" s="184">
        <f>Fluxo_de_Caixa_Janeiro3[[#This Row],[Fevereiro]]</f>
        <v>-136677.07999999999</v>
      </c>
      <c r="E330" s="184">
        <f>Fluxo_de_Caixa_Janeiro34[[#This Row],[Março]]</f>
        <v>-648804.6100000001</v>
      </c>
      <c r="F330" s="184">
        <f>Fluxo_de_Caixa_Janeiro345[[#This Row],[ABRIL]]</f>
        <v>-260629.22</v>
      </c>
      <c r="G330" s="184">
        <f>Fluxo_de_Caixa_Janeiro3459[[#This Row],[MAIO]]</f>
        <v>-57579.99</v>
      </c>
      <c r="H330" s="291">
        <f>Fluxo_de_Caixa_Janeiro345911[[#This Row],[JUNHO]]</f>
        <v>0</v>
      </c>
      <c r="I330" s="299">
        <f>Fluxo_de_Caixa_Janeiro3459117[[#This Row],[JULHO]]</f>
        <v>0</v>
      </c>
      <c r="J330" s="184">
        <f>Fluxo_de_Caixa_Janeiro345911710[[#This Row],[AGOSTO]]</f>
        <v>0</v>
      </c>
      <c r="K330" s="184">
        <f>Fluxo_de_Caixa_Janeiro34591171012[[#This Row],[SETEMBRO]]</f>
        <v>0</v>
      </c>
      <c r="L330" s="184">
        <f>Fluxo_de_Caixa_Janeiro3459117101215[[#This Row],[OUTUBRO]]</f>
        <v>0</v>
      </c>
      <c r="M330" s="184">
        <f>Fluxo_de_Caixa_Janeiro345911710121516[[#This Row],[NOVEMBRO]]</f>
        <v>0</v>
      </c>
      <c r="N330" s="184">
        <f>Fluxo_de_Caixa_Janeiro34591171012151619[[#This Row],[DEZEMBRO]]</f>
        <v>0</v>
      </c>
      <c r="O330" s="227">
        <f>SUM(Fluxo_de_Caixa_Janeiro31020818[[#This Row],[Janeiro]:[Dezembro]])</f>
        <v>-1135931.4200000002</v>
      </c>
      <c r="P330" s="149">
        <f>IFERROR(O330/(O27+O238),"0,00%")</f>
        <v>-0.20773633785029874</v>
      </c>
      <c r="Q330" s="149"/>
      <c r="R330" s="32" t="str">
        <f>IF(Fluxo_de_Caixa_Janeiro31020818[[#This Row],[% ACUMULADO  ANO 2026]]&gt;=Fluxo_de_Caixa_Janeiro31020818[[#This Row],[Coluna1]],"VERDADEIRO","FALSO")</f>
        <v>FALSO</v>
      </c>
      <c r="S330" s="248"/>
      <c r="T330" s="248"/>
      <c r="U330" s="1"/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35">
      <c r="B331" s="173" t="str">
        <f>Fluxo_de_Caixa_Janeiro[[#This Row],[Fluxo de Caixa 2026 CTR]]</f>
        <v>Saldo Inicial Conta Movimento</v>
      </c>
      <c r="C331" s="178">
        <f>Fluxo_de_Caixa_Janeiro[[#This Row],[Janeiro]]</f>
        <v>67410.42</v>
      </c>
      <c r="D331" s="185">
        <f>Fluxo_de_Caixa_Janeiro3[[#This Row],[Fevereiro]]</f>
        <v>31847.63</v>
      </c>
      <c r="E331" s="185">
        <f>Fluxo_de_Caixa_Janeiro34[[#This Row],[Março]]</f>
        <v>8957.5900000000074</v>
      </c>
      <c r="F331" s="185">
        <f>Fluxo_de_Caixa_Janeiro345[[#This Row],[ABRIL]]</f>
        <v>437595.5799999999</v>
      </c>
      <c r="G331" s="185">
        <f>Fluxo_de_Caixa_Janeiro3459[[#This Row],[MAIO]]</f>
        <v>515135.91000000003</v>
      </c>
      <c r="H331" s="292">
        <f>Fluxo_de_Caixa_Janeiro345911[[#This Row],[JUNHO]]</f>
        <v>730895.57000000007</v>
      </c>
      <c r="I331" s="300">
        <f>Fluxo_de_Caixa_Janeiro3459117[[#This Row],[JULHO]]</f>
        <v>0</v>
      </c>
      <c r="J331" s="185">
        <f>Fluxo_de_Caixa_Janeiro345911710[[#This Row],[AGOSTO]]</f>
        <v>0</v>
      </c>
      <c r="K331" s="185">
        <f>Fluxo_de_Caixa_Janeiro34591171012[[#This Row],[SETEMBRO]]</f>
        <v>0</v>
      </c>
      <c r="L331" s="185">
        <f>Fluxo_de_Caixa_Janeiro3459117101215[[#This Row],[OUTUBRO]]</f>
        <v>0</v>
      </c>
      <c r="M331" s="185">
        <f>Fluxo_de_Caixa_Janeiro345911710121516[[#This Row],[NOVEMBRO]]</f>
        <v>0</v>
      </c>
      <c r="N331" s="185">
        <f>Fluxo_de_Caixa_Janeiro34591171012151619[[#This Row],[DEZEMBRO]]</f>
        <v>0</v>
      </c>
      <c r="O331" s="237">
        <f>Fluxo_de_Caixa_Janeiro31020818[[#This Row],[Janeiro]]</f>
        <v>67410.42</v>
      </c>
      <c r="P331" s="150"/>
      <c r="Q331" s="150"/>
      <c r="R331" s="32"/>
      <c r="S331" s="1"/>
      <c r="T331" s="1"/>
      <c r="U331" s="1"/>
      <c r="V331" s="1"/>
      <c r="W331" s="1"/>
      <c r="X331" s="1"/>
      <c r="Y331" s="1"/>
    </row>
    <row r="332" spans="2:221" ht="19.149999999999999" customHeight="1" thickBot="1" x14ac:dyDescent="0.35">
      <c r="B332" s="282" t="str">
        <f>Fluxo_de_Caixa_Janeiro[[#This Row],[Fluxo de Caixa 2026 CTR]]</f>
        <v>Total Receitas Operac. e Não Operac.</v>
      </c>
      <c r="C332" s="179">
        <f>Fluxo_de_Caixa_Janeiro[[#This Row],[Janeiro]]</f>
        <v>750934.90999999992</v>
      </c>
      <c r="D332" s="186">
        <f>Fluxo_de_Caixa_Janeiro3[[#This Row],[Fevereiro]]</f>
        <v>1038662.66</v>
      </c>
      <c r="E332" s="186">
        <f>Fluxo_de_Caixa_Janeiro34[[#This Row],[Março]]</f>
        <v>1918182.21</v>
      </c>
      <c r="F332" s="186">
        <f>Fluxo_de_Caixa_Janeiro345[[#This Row],[ABRIL]]</f>
        <v>1010347</v>
      </c>
      <c r="G332" s="186">
        <f>Fluxo_de_Caixa_Janeiro3459[[#This Row],[MAIO]]</f>
        <v>750013.42</v>
      </c>
      <c r="H332" s="293">
        <f>Fluxo_de_Caixa_Janeiro345911[[#This Row],[JUNHO]]</f>
        <v>0</v>
      </c>
      <c r="I332" s="301">
        <f>Fluxo_de_Caixa_Janeiro3459117[[#This Row],[JULHO]]</f>
        <v>0</v>
      </c>
      <c r="J332" s="186">
        <f>Fluxo_de_Caixa_Janeiro345911710[[#This Row],[AGOSTO]]</f>
        <v>0</v>
      </c>
      <c r="K332" s="186">
        <f>Fluxo_de_Caixa_Janeiro34591171012[[#This Row],[SETEMBRO]]</f>
        <v>0</v>
      </c>
      <c r="L332" s="186">
        <f>Fluxo_de_Caixa_Janeiro3459117101215[[#This Row],[OUTUBRO]]</f>
        <v>0</v>
      </c>
      <c r="M332" s="186">
        <f>Fluxo_de_Caixa_Janeiro345911710121516[[#This Row],[NOVEMBRO]]</f>
        <v>0</v>
      </c>
      <c r="N332" s="186">
        <f>Fluxo_de_Caixa_Janeiro34591171012151619[[#This Row],[DEZEMBRO]]</f>
        <v>0</v>
      </c>
      <c r="O332" s="238">
        <f>SUM(Fluxo_de_Caixa_Janeiro31020818[[#This Row],[Janeiro]:[Dezembro]])</f>
        <v>5468140.1999999993</v>
      </c>
      <c r="P332" s="151">
        <f>SUM(P27,P238)</f>
        <v>1</v>
      </c>
      <c r="Q332" s="151"/>
      <c r="R332" s="32"/>
      <c r="S332" s="1"/>
      <c r="T332" s="1"/>
      <c r="U332" s="1"/>
      <c r="V332" s="1"/>
      <c r="W332" s="1"/>
      <c r="X332" s="1"/>
      <c r="Y332" s="1"/>
    </row>
    <row r="333" spans="2:221" s="5" customFormat="1" ht="27" customHeight="1" thickBot="1" x14ac:dyDescent="0.35">
      <c r="B333" s="283" t="str">
        <f>Fluxo_de_Caixa_Janeiro[[#This Row],[Fluxo de Caixa 2026 CTR]]</f>
        <v>Total Despesas Operac. e Não Operac.</v>
      </c>
      <c r="C333" s="180">
        <f>Fluxo_de_Caixa_Janeiro[[#This Row],[Janeiro]]</f>
        <v>-786347.69</v>
      </c>
      <c r="D333" s="187">
        <f>Fluxo_de_Caixa_Janeiro3[[#This Row],[Fevereiro]]</f>
        <v>-1061732.7100000002</v>
      </c>
      <c r="E333" s="187">
        <f>Fluxo_de_Caixa_Janeiro34[[#This Row],[Março]]</f>
        <v>-1489764.8800000001</v>
      </c>
      <c r="F333" s="187">
        <f>Fluxo_de_Caixa_Janeiro345[[#This Row],[ABRIL]]</f>
        <v>-933056.99</v>
      </c>
      <c r="G333" s="187">
        <f>Fluxo_de_Caixa_Janeiro3459[[#This Row],[MAIO]]</f>
        <v>-531924.26</v>
      </c>
      <c r="H333" s="294">
        <f>Fluxo_de_Caixa_Janeiro345911[[#This Row],[JUNHO]]</f>
        <v>0</v>
      </c>
      <c r="I333" s="302">
        <f>Fluxo_de_Caixa_Janeiro3459117[[#This Row],[JULHO]]</f>
        <v>0</v>
      </c>
      <c r="J333" s="187">
        <f>Fluxo_de_Caixa_Janeiro345911710[[#This Row],[AGOSTO]]</f>
        <v>0</v>
      </c>
      <c r="K333" s="187">
        <f>Fluxo_de_Caixa_Janeiro34591171012[[#This Row],[SETEMBRO]]</f>
        <v>0</v>
      </c>
      <c r="L333" s="187">
        <f>Fluxo_de_Caixa_Janeiro3459117101215[[#This Row],[OUTUBRO]]</f>
        <v>0</v>
      </c>
      <c r="M333" s="187">
        <f>Fluxo_de_Caixa_Janeiro345911710121516[[#This Row],[NOVEMBRO]]</f>
        <v>0</v>
      </c>
      <c r="N333" s="187">
        <f>Fluxo_de_Caixa_Janeiro34591171012151619[[#This Row],[DEZEMBRO]]</f>
        <v>0</v>
      </c>
      <c r="O333" s="239">
        <f>SUM(Fluxo_de_Caixa_Janeiro31020818[[#This Row],[Janeiro]:[Dezembro]])</f>
        <v>-4802826.53</v>
      </c>
      <c r="P333" s="152">
        <f>IFERROR(O333/O332,"0,00%")</f>
        <v>-0.87832907612719968</v>
      </c>
      <c r="Q333" s="152"/>
      <c r="R333" s="32" t="str">
        <f>IF(Fluxo_de_Caixa_Janeiro31020818[[#This Row],[% ACUMULADO  ANO 2026]]&gt;=Fluxo_de_Caixa_Janeiro31020818[[#This Row],[Coluna1]],"VERDADEIRO","FALSO")</f>
        <v>FALSO</v>
      </c>
      <c r="S333" s="8"/>
      <c r="T333" s="8"/>
      <c r="U333" s="8"/>
      <c r="V333" s="8"/>
      <c r="W333" s="8"/>
      <c r="X333" s="8"/>
      <c r="Y333" s="8"/>
    </row>
    <row r="334" spans="2:221" ht="21.75" thickBot="1" x14ac:dyDescent="0.3">
      <c r="B334" s="271" t="str">
        <f>Fluxo_de_Caixa_Janeiro[[#This Row],[Fluxo de Caixa 2026 CTR]]</f>
        <v xml:space="preserve">Saldo Liquido Final  </v>
      </c>
      <c r="C334" s="181">
        <f>Fluxo_de_Caixa_Janeiro[[#This Row],[Janeiro]]</f>
        <v>-35412.780000000028</v>
      </c>
      <c r="D334" s="188">
        <f>Fluxo_de_Caixa_Janeiro3[[#This Row],[Fevereiro]]</f>
        <v>-23070.050000000163</v>
      </c>
      <c r="E334" s="188">
        <f>Fluxo_de_Caixa_Janeiro34[[#This Row],[Março]]</f>
        <v>428417.32999999984</v>
      </c>
      <c r="F334" s="188">
        <f>Fluxo_de_Caixa_Janeiro345[[#This Row],[ABRIL]]</f>
        <v>77290.010000000009</v>
      </c>
      <c r="G334" s="188">
        <f>Fluxo_de_Caixa_Janeiro3459[[#This Row],[MAIO]]</f>
        <v>218089.16000000003</v>
      </c>
      <c r="H334" s="295">
        <f>Fluxo_de_Caixa_Janeiro345911[[#This Row],[JUNHO]]</f>
        <v>0</v>
      </c>
      <c r="I334" s="303">
        <f>Fluxo_de_Caixa_Janeiro3459117[[#This Row],[JULHO]]</f>
        <v>0</v>
      </c>
      <c r="J334" s="188">
        <f>Fluxo_de_Caixa_Janeiro345911710[[#This Row],[AGOSTO]]</f>
        <v>0</v>
      </c>
      <c r="K334" s="188">
        <f>Fluxo_de_Caixa_Janeiro34591171012[[#This Row],[SETEMBRO]]</f>
        <v>0</v>
      </c>
      <c r="L334" s="188">
        <f>Fluxo_de_Caixa_Janeiro3459117101215[[#This Row],[OUTUBRO]]</f>
        <v>0</v>
      </c>
      <c r="M334" s="188">
        <f>Fluxo_de_Caixa_Janeiro345911710121516[[#This Row],[NOVEMBRO]]</f>
        <v>0</v>
      </c>
      <c r="N334" s="188">
        <f>Fluxo_de_Caixa_Janeiro34591171012151619[[#This Row],[DEZEMBRO]]</f>
        <v>0</v>
      </c>
      <c r="O334" s="240">
        <f>SUM(Fluxo_de_Caixa_Janeiro31020818[[#This Row],[Janeiro]:[Dezembro]])</f>
        <v>665313.66999999969</v>
      </c>
      <c r="P334" s="27">
        <f>IFERROR(O334/O332,"0,00%")</f>
        <v>0.12167092387280044</v>
      </c>
      <c r="Q334" s="27"/>
      <c r="R334" s="32" t="str">
        <f>IF(Fluxo_de_Caixa_Janeiro31020818[[#This Row],[% ACUMULADO  ANO 2026]]&gt;=Fluxo_de_Caixa_Janeiro31020818[[#This Row],[Coluna1]],"VERDADEIRO","FALSO")</f>
        <v>VERDADEIRO</v>
      </c>
      <c r="S334" s="287">
        <f>O239+O273</f>
        <v>513385.96</v>
      </c>
      <c r="T334" s="1"/>
      <c r="U334" s="1"/>
      <c r="V334" s="1"/>
      <c r="W334" s="1"/>
      <c r="X334" s="1"/>
      <c r="Y334" s="1"/>
    </row>
    <row r="335" spans="2:221" ht="27" thickBot="1" x14ac:dyDescent="0.45">
      <c r="B335" s="174" t="str">
        <f>Fluxo_de_Caixa_Janeiro[[#This Row],[Fluxo de Caixa 2026 CTR]]</f>
        <v xml:space="preserve">Saldo Liquido Ajustado  </v>
      </c>
      <c r="C335" s="182">
        <f>Fluxo_de_Caixa_Janeiro[[#This Row],[Janeiro]]</f>
        <v>31997.640000000014</v>
      </c>
      <c r="D335" s="189">
        <f>Fluxo_de_Caixa_Janeiro3[[#This Row],[Fevereiro]]</f>
        <v>8777.5799999998417</v>
      </c>
      <c r="E335" s="189">
        <f>Fluxo_de_Caixa_Janeiro34[[#This Row],[Março]]</f>
        <v>437374.91999999993</v>
      </c>
      <c r="F335" s="189">
        <f>Fluxo_de_Caixa_Janeiro345[[#This Row],[ABRIL]]</f>
        <v>514885.58999999985</v>
      </c>
      <c r="G335" s="189">
        <f>Fluxo_de_Caixa_Janeiro3459[[#This Row],[MAIO]]</f>
        <v>733225.07000000007</v>
      </c>
      <c r="H335" s="296">
        <f>Fluxo_de_Caixa_Janeiro345911[[#This Row],[JUNHO]]</f>
        <v>730895.57000000007</v>
      </c>
      <c r="I335" s="304">
        <f>Fluxo_de_Caixa_Janeiro3459117[[#This Row],[JULHO]]</f>
        <v>0</v>
      </c>
      <c r="J335" s="189">
        <f>Fluxo_de_Caixa_Janeiro345911710[[#This Row],[AGOSTO]]</f>
        <v>0</v>
      </c>
      <c r="K335" s="189">
        <f>Fluxo_de_Caixa_Janeiro34591171012[[#This Row],[SETEMBRO]]</f>
        <v>0</v>
      </c>
      <c r="L335" s="189">
        <f>Fluxo_de_Caixa_Janeiro3459117101215[[#This Row],[OUTUBRO]]</f>
        <v>0</v>
      </c>
      <c r="M335" s="189">
        <f>Fluxo_de_Caixa_Janeiro345911710121516[[#This Row],[NOVEMBRO]]</f>
        <v>0</v>
      </c>
      <c r="N335" s="189">
        <f>Fluxo_de_Caixa_Janeiro34591171012151619[[#This Row],[DEZEMBRO]]</f>
        <v>0</v>
      </c>
      <c r="O335" s="241">
        <f>SUM(O332,O331,O333)</f>
        <v>732724.08999999892</v>
      </c>
      <c r="P335" s="153">
        <f>IFERROR(O335/(O332+O331),"0,00%")</f>
        <v>0.13236697490447644</v>
      </c>
      <c r="Q335" s="153"/>
      <c r="R335" s="32" t="str">
        <f>IF(Fluxo_de_Caixa_Janeiro31020818[[#This Row],[% ACUMULADO  ANO 2026]]&gt;=Fluxo_de_Caixa_Janeiro31020818[[#This Row],[Coluna1]],"VERDADEIRO","FALSO")</f>
        <v>VERDADEIRO</v>
      </c>
      <c r="S335" s="287">
        <f>O334-S334</f>
        <v>151927.70999999967</v>
      </c>
    </row>
    <row r="336" spans="2:221" ht="24" thickBot="1" x14ac:dyDescent="0.4">
      <c r="B336" s="175" t="str">
        <f>Fluxo_de_Caixa_Janeiro[[#This Row],[Fluxo de Caixa 2026 CTR]]</f>
        <v>Disponíveis nas Contas Movimento</v>
      </c>
      <c r="C336" s="183">
        <f>Fluxo_de_Caixa_Janeiro[[#This Row],[Janeiro]]</f>
        <v>31847.63</v>
      </c>
      <c r="D336" s="190">
        <f>Fluxo_de_Caixa_Janeiro3[[#This Row],[Fevereiro]]</f>
        <v>8957.5900000000074</v>
      </c>
      <c r="E336" s="190">
        <f>Fluxo_de_Caixa_Janeiro34[[#This Row],[Março]]</f>
        <v>437595.5799999999</v>
      </c>
      <c r="F336" s="190">
        <f>Fluxo_de_Caixa_Janeiro345[[#This Row],[ABRIL]]</f>
        <v>515135.91000000003</v>
      </c>
      <c r="G336" s="190">
        <f>Fluxo_de_Caixa_Janeiro3459[[#This Row],[MAIO]]</f>
        <v>733125.37</v>
      </c>
      <c r="H336" s="297">
        <f>Fluxo_de_Caixa_Janeiro345911[[#This Row],[JUNHO]]</f>
        <v>0</v>
      </c>
      <c r="I336" s="305">
        <f>Fluxo_de_Caixa_Janeiro3459117[[#This Row],[JULHO]]</f>
        <v>0</v>
      </c>
      <c r="J336" s="190">
        <f>Fluxo_de_Caixa_Janeiro345911710[[#This Row],[AGOSTO]]</f>
        <v>0</v>
      </c>
      <c r="K336" s="190">
        <f>Fluxo_de_Caixa_Janeiro34591171012[[#This Row],[SETEMBRO]]</f>
        <v>0</v>
      </c>
      <c r="L336" s="190">
        <f>Fluxo_de_Caixa_Janeiro3459117101215[[#This Row],[OUTUBRO]]</f>
        <v>0</v>
      </c>
      <c r="M336" s="190">
        <f>Fluxo_de_Caixa_Janeiro345911710121516[[#This Row],[NOVEMBRO]]</f>
        <v>0</v>
      </c>
      <c r="N336" s="190">
        <f>Fluxo_de_Caixa_Janeiro34591171012151619[[#This Row],[DEZEMBRO]]</f>
        <v>0</v>
      </c>
      <c r="O336" s="242">
        <f>SUM(O337:O359)</f>
        <v>0</v>
      </c>
      <c r="P336" s="254">
        <f>SUM(P337:P351)</f>
        <v>0</v>
      </c>
      <c r="Q336" s="114"/>
      <c r="R336" s="34"/>
      <c r="T336" s="404"/>
    </row>
    <row r="337" spans="2:19" x14ac:dyDescent="0.25">
      <c r="B337" s="47" t="str">
        <f>Fluxo_de_Caixa_Janeiro[[#This Row],[Fluxo de Caixa 2026 CTR]]</f>
        <v>1.0 - TESOURARIA MATRIZ PALMAS</v>
      </c>
      <c r="C337" s="41">
        <f>Fluxo_de_Caixa_Janeiro[[#This Row],[Janeiro]]</f>
        <v>40.53</v>
      </c>
      <c r="D337" s="81">
        <f>Fluxo_de_Caixa_Janeiro3[[#This Row],[Fevereiro]]</f>
        <v>337.58</v>
      </c>
      <c r="E337" s="81">
        <f>Fluxo_de_Caixa_Janeiro34[[#This Row],[Março]]</f>
        <v>850.58</v>
      </c>
      <c r="F337" s="81">
        <f>Fluxo_de_Caixa_Janeiro345[[#This Row],[ABRIL]]</f>
        <v>421.79</v>
      </c>
      <c r="G337" s="81">
        <f>Fluxo_de_Caixa_Janeiro3459[[#This Row],[MAIO]]</f>
        <v>595.79</v>
      </c>
      <c r="H337" s="118">
        <f>Fluxo_de_Caixa_Janeiro345911[[#This Row],[JUNHO]]</f>
        <v>0</v>
      </c>
      <c r="I337" s="81">
        <f>Fluxo_de_Caixa_Janeiro3459117[[#This Row],[JULHO]]</f>
        <v>0</v>
      </c>
      <c r="J337" s="81">
        <f>Fluxo_de_Caixa_Janeiro345911710[[#This Row],[AGOSTO]]</f>
        <v>0</v>
      </c>
      <c r="K337" s="81">
        <f>Fluxo_de_Caixa_Janeiro34591171012[[#This Row],[SETEMBRO]]</f>
        <v>0</v>
      </c>
      <c r="L337" s="81">
        <f>Fluxo_de_Caixa_Janeiro3459117101215[[#This Row],[OUTUBRO]]</f>
        <v>0</v>
      </c>
      <c r="M337" s="81">
        <f>Fluxo_de_Caixa_Janeiro345911710121516[[#This Row],[NOVEMBRO]]</f>
        <v>0</v>
      </c>
      <c r="N337" s="118">
        <f>Fluxo_de_Caixa_Janeiro34591171012151619[[#This Row],[DEZEMBRO]]</f>
        <v>0</v>
      </c>
      <c r="O337" s="243">
        <f>Fluxo_de_Caixa_Janeiro31020818[[#This Row],[Dezembro]]</f>
        <v>0</v>
      </c>
      <c r="P337" s="28" t="str">
        <f t="shared" ref="P337:P361" si="17">IFERROR(O337/$O$336,"0,00%")</f>
        <v>0,00%</v>
      </c>
      <c r="Q337" s="113"/>
      <c r="R337" s="34"/>
    </row>
    <row r="338" spans="2:19" x14ac:dyDescent="0.25">
      <c r="B338" s="47" t="str">
        <f>Fluxo_de_Caixa_Janeiro[[#This Row],[Fluxo de Caixa 2026 CTR]]</f>
        <v>1.1 - BANCO DO BRASIL C.C.60409-7 MATRIZ</v>
      </c>
      <c r="C338" s="35">
        <f>Fluxo_de_Caixa_Janeiro[[#This Row],[Janeiro]]</f>
        <v>108.85</v>
      </c>
      <c r="D338" s="62">
        <f>Fluxo_de_Caixa_Janeiro3[[#This Row],[Fevereiro]]</f>
        <v>55.77</v>
      </c>
      <c r="E338" s="62">
        <f>Fluxo_de_Caixa_Janeiro34[[#This Row],[Março]]</f>
        <v>36651.07</v>
      </c>
      <c r="F338" s="62">
        <f>Fluxo_de_Caixa_Janeiro345[[#This Row],[ABRIL]]</f>
        <v>52517.95</v>
      </c>
      <c r="G338" s="62">
        <f>Fluxo_de_Caixa_Janeiro3459[[#This Row],[MAIO]]</f>
        <v>137058.82</v>
      </c>
      <c r="H338" s="119">
        <f>Fluxo_de_Caixa_Janeiro345911[[#This Row],[JUNHO]]</f>
        <v>0</v>
      </c>
      <c r="I338" s="62">
        <f>Fluxo_de_Caixa_Janeiro3459117[[#This Row],[JULHO]]</f>
        <v>0</v>
      </c>
      <c r="J338" s="62">
        <f>Fluxo_de_Caixa_Janeiro345911710[[#This Row],[AGOSTO]]</f>
        <v>0</v>
      </c>
      <c r="K338" s="62">
        <f>Fluxo_de_Caixa_Janeiro34591171012[[#This Row],[SETEMBRO]]</f>
        <v>0</v>
      </c>
      <c r="L338" s="62">
        <f>Fluxo_de_Caixa_Janeiro3459117101215[[#This Row],[OUTUBRO]]</f>
        <v>0</v>
      </c>
      <c r="M338" s="62">
        <f>Fluxo_de_Caixa_Janeiro345911710121516[[#This Row],[NOVEMBRO]]</f>
        <v>0</v>
      </c>
      <c r="N338" s="118">
        <f>Fluxo_de_Caixa_Janeiro34591171012151619[[#This Row],[DEZEMBRO]]</f>
        <v>0</v>
      </c>
      <c r="O338" s="243">
        <f>Fluxo_de_Caixa_Janeiro31020818[[#This Row],[Dezembro]]</f>
        <v>0</v>
      </c>
      <c r="P338" s="138" t="str">
        <f t="shared" si="17"/>
        <v>0,00%</v>
      </c>
      <c r="Q338" s="78"/>
      <c r="R338" s="34"/>
      <c r="S338">
        <v>0.2</v>
      </c>
    </row>
    <row r="339" spans="2:19" hidden="1" x14ac:dyDescent="0.25">
      <c r="B339" s="47">
        <f>Fluxo_de_Caixa_Janeiro[[#This Row],[Fluxo de Caixa 2026 CTR]]</f>
        <v>0</v>
      </c>
      <c r="C339" s="35">
        <f>Fluxo_de_Caixa_Janeiro[[#This Row],[Janeiro]]</f>
        <v>0</v>
      </c>
      <c r="D339" s="62">
        <f>Fluxo_de_Caixa_Janeiro3[[#This Row],[Fevereiro]]</f>
        <v>0</v>
      </c>
      <c r="E339" s="62">
        <f>Fluxo_de_Caixa_Janeiro34[[#This Row],[Março]]</f>
        <v>0</v>
      </c>
      <c r="F339" s="62">
        <f>Fluxo_de_Caixa_Janeiro345[[#This Row],[ABRIL]]</f>
        <v>0</v>
      </c>
      <c r="G339" s="62">
        <f>Fluxo_de_Caixa_Janeiro3459[[#This Row],[MAIO]]</f>
        <v>0</v>
      </c>
      <c r="H339" s="119">
        <f>Fluxo_de_Caixa_Janeiro345911[[#This Row],[JUNHO]]</f>
        <v>0</v>
      </c>
      <c r="I339" s="62">
        <f>Fluxo_de_Caixa_Janeiro3459117[[#This Row],[JULHO]]</f>
        <v>0</v>
      </c>
      <c r="J339" s="62">
        <f>Fluxo_de_Caixa_Janeiro345911710[[#This Row],[AGOSTO]]</f>
        <v>0</v>
      </c>
      <c r="K339" s="62">
        <f>Fluxo_de_Caixa_Janeiro34591171012[[#This Row],[SETEMBRO]]</f>
        <v>0</v>
      </c>
      <c r="L339" s="62">
        <f>Fluxo_de_Caixa_Janeiro3459117101215[[#This Row],[OUTUBRO]]</f>
        <v>0</v>
      </c>
      <c r="M339" s="62">
        <f>Fluxo_de_Caixa_Janeiro345911710121516[[#This Row],[NOVEMBRO]]</f>
        <v>0</v>
      </c>
      <c r="N339" s="118">
        <f>Fluxo_de_Caixa_Janeiro34591171012151619[[#This Row],[DEZEMBRO]]</f>
        <v>0</v>
      </c>
      <c r="O339" s="243">
        <f>Fluxo_de_Caixa_Janeiro31020818[[#This Row],[Dezembro]]</f>
        <v>0</v>
      </c>
      <c r="P339" s="138" t="str">
        <f t="shared" si="17"/>
        <v>0,00%</v>
      </c>
      <c r="Q339" s="78"/>
      <c r="R339" s="34"/>
      <c r="S339">
        <f>S338*12</f>
        <v>2.4000000000000004</v>
      </c>
    </row>
    <row r="340" spans="2:19" x14ac:dyDescent="0.25">
      <c r="B340" s="47" t="str">
        <f>Fluxo_de_Caixa_Janeiro[[#This Row],[Fluxo de Caixa 2026 CTR]]</f>
        <v>1.2-BRADESCO 15232-3 MATRIZ</v>
      </c>
      <c r="C340" s="35">
        <f>Fluxo_de_Caixa_Janeiro[[#This Row],[Janeiro]]</f>
        <v>3332.91</v>
      </c>
      <c r="D340" s="62">
        <f>Fluxo_de_Caixa_Janeiro3[[#This Row],[Fevereiro]]</f>
        <v>25.97</v>
      </c>
      <c r="E340" s="62">
        <f>Fluxo_de_Caixa_Janeiro34[[#This Row],[Março]]</f>
        <v>6785.01</v>
      </c>
      <c r="F340" s="62">
        <f>Fluxo_de_Caixa_Janeiro345[[#This Row],[ABRIL]]</f>
        <v>733.84</v>
      </c>
      <c r="G340" s="62">
        <f>Fluxo_de_Caixa_Janeiro3459[[#This Row],[MAIO]]</f>
        <v>28967.96</v>
      </c>
      <c r="H340" s="119">
        <f>Fluxo_de_Caixa_Janeiro345911[[#This Row],[JUNHO]]</f>
        <v>0</v>
      </c>
      <c r="I340" s="62">
        <f>Fluxo_de_Caixa_Janeiro3459117[[#This Row],[JULHO]]</f>
        <v>0</v>
      </c>
      <c r="J340" s="62">
        <f>Fluxo_de_Caixa_Janeiro345911710[[#This Row],[AGOSTO]]</f>
        <v>0</v>
      </c>
      <c r="K340" s="62">
        <f>Fluxo_de_Caixa_Janeiro34591171012[[#This Row],[SETEMBRO]]</f>
        <v>0</v>
      </c>
      <c r="L340" s="62">
        <f>Fluxo_de_Caixa_Janeiro3459117101215[[#This Row],[OUTUBRO]]</f>
        <v>0</v>
      </c>
      <c r="M340" s="62">
        <f>Fluxo_de_Caixa_Janeiro345911710121516[[#This Row],[NOVEMBRO]]</f>
        <v>0</v>
      </c>
      <c r="N340" s="118">
        <f>Fluxo_de_Caixa_Janeiro34591171012151619[[#This Row],[DEZEMBRO]]</f>
        <v>0</v>
      </c>
      <c r="O340" s="243">
        <f>Fluxo_de_Caixa_Janeiro31020818[[#This Row],[Dezembro]]</f>
        <v>0</v>
      </c>
      <c r="P340" s="138" t="str">
        <f t="shared" si="17"/>
        <v>0,00%</v>
      </c>
      <c r="Q340" s="78"/>
      <c r="R340" s="34"/>
    </row>
    <row r="341" spans="2:19" x14ac:dyDescent="0.25">
      <c r="B341" s="47">
        <f>Fluxo_de_Caixa_Janeiro[[#This Row],[Fluxo de Caixa 2026 CTR]]</f>
        <v>0</v>
      </c>
      <c r="C341" s="35">
        <f>Fluxo_de_Caixa_Janeiro[[#This Row],[Janeiro]]</f>
        <v>0</v>
      </c>
      <c r="D341" s="62">
        <f>Fluxo_de_Caixa_Janeiro3[[#This Row],[Fevereiro]]</f>
        <v>0</v>
      </c>
      <c r="E341" s="62">
        <f>Fluxo_de_Caixa_Janeiro34[[#This Row],[Março]]</f>
        <v>0</v>
      </c>
      <c r="F341" s="62">
        <f>Fluxo_de_Caixa_Janeiro345[[#This Row],[ABRIL]]</f>
        <v>0</v>
      </c>
      <c r="G341" s="62">
        <f>Fluxo_de_Caixa_Janeiro3459[[#This Row],[MAIO]]</f>
        <v>0</v>
      </c>
      <c r="H341" s="119">
        <f>Fluxo_de_Caixa_Janeiro345911[[#This Row],[JUNHO]]</f>
        <v>0</v>
      </c>
      <c r="I341" s="62">
        <f>Fluxo_de_Caixa_Janeiro3459117[[#This Row],[JULHO]]</f>
        <v>0</v>
      </c>
      <c r="J341" s="62">
        <f>Fluxo_de_Caixa_Janeiro345911710[[#This Row],[AGOSTO]]</f>
        <v>0</v>
      </c>
      <c r="K341" s="62">
        <f>Fluxo_de_Caixa_Janeiro34591171012[[#This Row],[SETEMBRO]]</f>
        <v>0</v>
      </c>
      <c r="L341" s="62">
        <f>Fluxo_de_Caixa_Janeiro3459117101215[[#This Row],[OUTUBRO]]</f>
        <v>0</v>
      </c>
      <c r="M341" s="62">
        <f>Fluxo_de_Caixa_Janeiro345911710121516[[#This Row],[NOVEMBRO]]</f>
        <v>0</v>
      </c>
      <c r="N341" s="118">
        <f>Fluxo_de_Caixa_Janeiro34591171012151619[[#This Row],[DEZEMBRO]]</f>
        <v>0</v>
      </c>
      <c r="O341" s="243">
        <f>Fluxo_de_Caixa_Janeiro31020818[[#This Row],[Dezembro]]</f>
        <v>0</v>
      </c>
      <c r="P341" s="138" t="str">
        <f t="shared" si="17"/>
        <v>0,00%</v>
      </c>
      <c r="Q341" s="78"/>
      <c r="R341" s="34"/>
    </row>
    <row r="342" spans="2:19" x14ac:dyDescent="0.25">
      <c r="B342" s="47" t="str">
        <f>Fluxo_de_Caixa_Janeiro[[#This Row],[Fluxo de Caixa 2026 CTR]]</f>
        <v>1.3 - BANCO STONE MATRIZ C.C 40256726-7</v>
      </c>
      <c r="C342" s="35">
        <f>Fluxo_de_Caixa_Janeiro[[#This Row],[Janeiro]]</f>
        <v>2671</v>
      </c>
      <c r="D342" s="62">
        <f>Fluxo_de_Caixa_Janeiro3[[#This Row],[Fevereiro]]</f>
        <v>0</v>
      </c>
      <c r="E342" s="62">
        <f>Fluxo_de_Caixa_Janeiro34[[#This Row],[Março]]</f>
        <v>0</v>
      </c>
      <c r="F342" s="62">
        <f>Fluxo_de_Caixa_Janeiro345[[#This Row],[ABRIL]]</f>
        <v>0</v>
      </c>
      <c r="G342" s="62">
        <f>Fluxo_de_Caixa_Janeiro3459[[#This Row],[MAIO]]</f>
        <v>0</v>
      </c>
      <c r="H342" s="119">
        <f>Fluxo_de_Caixa_Janeiro345911[[#This Row],[JUNHO]]</f>
        <v>0</v>
      </c>
      <c r="I342" s="62">
        <f>Fluxo_de_Caixa_Janeiro3459117[[#This Row],[JULHO]]</f>
        <v>0</v>
      </c>
      <c r="J342" s="62">
        <f>Fluxo_de_Caixa_Janeiro345911710[[#This Row],[AGOSTO]]</f>
        <v>0</v>
      </c>
      <c r="K342" s="62">
        <f>Fluxo_de_Caixa_Janeiro34591171012[[#This Row],[SETEMBRO]]</f>
        <v>0</v>
      </c>
      <c r="L342" s="62">
        <f>Fluxo_de_Caixa_Janeiro3459117101215[[#This Row],[OUTUBRO]]</f>
        <v>0</v>
      </c>
      <c r="M342" s="62">
        <f>Fluxo_de_Caixa_Janeiro345911710121516[[#This Row],[NOVEMBRO]]</f>
        <v>0</v>
      </c>
      <c r="N342" s="118">
        <f>Fluxo_de_Caixa_Janeiro34591171012151619[[#This Row],[DEZEMBRO]]</f>
        <v>0</v>
      </c>
      <c r="O342" s="243">
        <f>Fluxo_de_Caixa_Janeiro31020818[[#This Row],[Dezembro]]</f>
        <v>0</v>
      </c>
      <c r="P342" s="138" t="str">
        <f t="shared" si="17"/>
        <v>0,00%</v>
      </c>
      <c r="Q342" s="78"/>
      <c r="R342" s="34"/>
    </row>
    <row r="343" spans="2:19" x14ac:dyDescent="0.25">
      <c r="B343" s="47" t="str">
        <f>Fluxo_de_Caixa_Janeiro[[#This Row],[Fluxo de Caixa 2026 CTR]]</f>
        <v>1.4 - BANCO DA AMAZONIA 071730-7 MATRIZ</v>
      </c>
      <c r="C343" s="35">
        <f>Fluxo_de_Caixa_Janeiro[[#This Row],[Janeiro]]</f>
        <v>281.77999999999997</v>
      </c>
      <c r="D343" s="62">
        <f>Fluxo_de_Caixa_Janeiro3[[#This Row],[Fevereiro]]</f>
        <v>1900.51</v>
      </c>
      <c r="E343" s="62">
        <f>Fluxo_de_Caixa_Janeiro34[[#This Row],[Março]]</f>
        <v>304243.92</v>
      </c>
      <c r="F343" s="62">
        <f>Fluxo_de_Caixa_Janeiro345[[#This Row],[ABRIL]]</f>
        <v>5306.88</v>
      </c>
      <c r="G343" s="62">
        <f>Fluxo_de_Caixa_Janeiro3459[[#This Row],[MAIO]]</f>
        <v>2192.0700000000002</v>
      </c>
      <c r="H343" s="119">
        <f>Fluxo_de_Caixa_Janeiro345911[[#This Row],[JUNHO]]</f>
        <v>0</v>
      </c>
      <c r="I343" s="62">
        <f>Fluxo_de_Caixa_Janeiro3459117[[#This Row],[JULHO]]</f>
        <v>0</v>
      </c>
      <c r="J343" s="62">
        <f>Fluxo_de_Caixa_Janeiro345911710[[#This Row],[AGOSTO]]</f>
        <v>0</v>
      </c>
      <c r="K343" s="62">
        <f>Fluxo_de_Caixa_Janeiro34591171012[[#This Row],[SETEMBRO]]</f>
        <v>0</v>
      </c>
      <c r="L343" s="62">
        <f>Fluxo_de_Caixa_Janeiro3459117101215[[#This Row],[OUTUBRO]]</f>
        <v>0</v>
      </c>
      <c r="M343" s="62">
        <f>Fluxo_de_Caixa_Janeiro345911710121516[[#This Row],[NOVEMBRO]]</f>
        <v>0</v>
      </c>
      <c r="N343" s="118">
        <f>Fluxo_de_Caixa_Janeiro34591171012151619[[#This Row],[DEZEMBRO]]</f>
        <v>0</v>
      </c>
      <c r="O343" s="243">
        <f>Fluxo_de_Caixa_Janeiro31020818[[#This Row],[Dezembro]]</f>
        <v>0</v>
      </c>
      <c r="P343" s="138" t="str">
        <f t="shared" ref="P343:P360" si="18">IFERROR(O343/$O$336,"0,00%")</f>
        <v>0,00%</v>
      </c>
      <c r="Q343" s="78"/>
      <c r="R343" s="34"/>
    </row>
    <row r="344" spans="2:19" x14ac:dyDescent="0.25">
      <c r="B344" s="47" t="str">
        <f>Fluxo_de_Caixa_Janeiro[[#This Row],[Fluxo de Caixa 2026 CTR]]</f>
        <v>1.4.1.INVESTIMENTO CDBORE RCP TXFL</v>
      </c>
      <c r="C344" s="35">
        <f>Fluxo_de_Caixa_Janeiro[[#This Row],[Janeiro]]</f>
        <v>0</v>
      </c>
      <c r="D344" s="62">
        <f>Fluxo_de_Caixa_Janeiro3[[#This Row],[Fevereiro]]</f>
        <v>0</v>
      </c>
      <c r="E344" s="62">
        <f>Fluxo_de_Caixa_Janeiro34[[#This Row],[Março]]</f>
        <v>0</v>
      </c>
      <c r="F344" s="62">
        <f>Fluxo_de_Caixa_Janeiro345[[#This Row],[ABRIL]]</f>
        <v>74541.539999999994</v>
      </c>
      <c r="G344" s="62">
        <f>Fluxo_de_Caixa_Janeiro3459[[#This Row],[MAIO]]</f>
        <v>75309.53</v>
      </c>
      <c r="H344" s="119">
        <f>Fluxo_de_Caixa_Janeiro345911[[#This Row],[JUNHO]]</f>
        <v>0</v>
      </c>
      <c r="I344" s="62">
        <f>Fluxo_de_Caixa_Janeiro3459117[[#This Row],[JULHO]]</f>
        <v>0</v>
      </c>
      <c r="J344" s="62">
        <f>Fluxo_de_Caixa_Janeiro345911710[[#This Row],[AGOSTO]]</f>
        <v>0</v>
      </c>
      <c r="K344" s="62">
        <f>Fluxo_de_Caixa_Janeiro34591171012[[#This Row],[SETEMBRO]]</f>
        <v>0</v>
      </c>
      <c r="L344" s="62">
        <f>Fluxo_de_Caixa_Janeiro3459117101215[[#This Row],[OUTUBRO]]</f>
        <v>0</v>
      </c>
      <c r="M344" s="62">
        <f>Fluxo_de_Caixa_Janeiro345911710121516[[#This Row],[NOVEMBRO]]</f>
        <v>0</v>
      </c>
      <c r="N344" s="118">
        <f>Fluxo_de_Caixa_Janeiro34591171012151619[[#This Row],[DEZEMBRO]]</f>
        <v>0</v>
      </c>
      <c r="O344" s="243">
        <f>Fluxo_de_Caixa_Janeiro31020818[[#This Row],[Dezembro]]</f>
        <v>0</v>
      </c>
      <c r="P344" s="138" t="str">
        <f t="shared" si="18"/>
        <v>0,00%</v>
      </c>
      <c r="Q344" s="78"/>
      <c r="R344" s="34"/>
    </row>
    <row r="345" spans="2:19" x14ac:dyDescent="0.25">
      <c r="B345" s="47" t="str">
        <f>Fluxo_de_Caixa_Janeiro[[#This Row],[Fluxo de Caixa 2026 CTR]]</f>
        <v>1.5 -  ITAU C.C.98671-6 MATRIZ</v>
      </c>
      <c r="C345" s="35">
        <f>Fluxo_de_Caixa_Janeiro[[#This Row],[Janeiro]]</f>
        <v>18153.73</v>
      </c>
      <c r="D345" s="62">
        <f>Fluxo_de_Caixa_Janeiro3[[#This Row],[Fevereiro]]</f>
        <v>33831.300000000003</v>
      </c>
      <c r="E345" s="62">
        <f>Fluxo_de_Caixa_Janeiro34[[#This Row],[Março]]</f>
        <v>95802.27</v>
      </c>
      <c r="F345" s="62">
        <f>Fluxo_de_Caixa_Janeiro345[[#This Row],[ABRIL]]</f>
        <v>367595.19</v>
      </c>
      <c r="G345" s="62">
        <f>Fluxo_de_Caixa_Janeiro3459[[#This Row],[MAIO]]</f>
        <v>456792.42</v>
      </c>
      <c r="H345" s="119">
        <f>Fluxo_de_Caixa_Janeiro345911[[#This Row],[JUNHO]]</f>
        <v>0</v>
      </c>
      <c r="I345" s="62">
        <f>Fluxo_de_Caixa_Janeiro3459117[[#This Row],[JULHO]]</f>
        <v>0</v>
      </c>
      <c r="J345" s="62">
        <f>Fluxo_de_Caixa_Janeiro345911710[[#This Row],[AGOSTO]]</f>
        <v>0</v>
      </c>
      <c r="K345" s="62">
        <f>Fluxo_de_Caixa_Janeiro34591171012[[#This Row],[SETEMBRO]]</f>
        <v>0</v>
      </c>
      <c r="L345" s="62">
        <f>Fluxo_de_Caixa_Janeiro3459117101215[[#This Row],[OUTUBRO]]</f>
        <v>0</v>
      </c>
      <c r="M345" s="62">
        <f>Fluxo_de_Caixa_Janeiro345911710121516[[#This Row],[NOVEMBRO]]</f>
        <v>0</v>
      </c>
      <c r="N345" s="118">
        <f>Fluxo_de_Caixa_Janeiro34591171012151619[[#This Row],[DEZEMBRO]]</f>
        <v>0</v>
      </c>
      <c r="O345" s="243">
        <f>Fluxo_de_Caixa_Janeiro31020818[[#This Row],[Dezembro]]</f>
        <v>0</v>
      </c>
      <c r="P345" s="138" t="str">
        <f t="shared" si="18"/>
        <v>0,00%</v>
      </c>
      <c r="Q345" s="78"/>
      <c r="R345" s="34"/>
    </row>
    <row r="346" spans="2:19" x14ac:dyDescent="0.25">
      <c r="B346" s="47" t="str">
        <f>Fluxo_de_Caixa_Janeiro[[#This Row],[Fluxo de Caixa 2026 CTR]]</f>
        <v>1.5.03. ITAU C.C 83290-2 GARANTIDA</v>
      </c>
      <c r="C346" s="35">
        <f>Fluxo_de_Caixa_Janeiro[[#This Row],[Janeiro]]</f>
        <v>1286.28</v>
      </c>
      <c r="D346" s="62">
        <f>Fluxo_de_Caixa_Janeiro3[[#This Row],[Fevereiro]]</f>
        <v>5399.76</v>
      </c>
      <c r="E346" s="62">
        <f>Fluxo_de_Caixa_Janeiro34[[#This Row],[Março]]</f>
        <v>0</v>
      </c>
      <c r="F346" s="62">
        <f>Fluxo_de_Caixa_Janeiro345[[#This Row],[ABRIL]]</f>
        <v>0</v>
      </c>
      <c r="G346" s="62">
        <f>Fluxo_de_Caixa_Janeiro3459[[#This Row],[MAIO]]</f>
        <v>0</v>
      </c>
      <c r="H346" s="119">
        <f>Fluxo_de_Caixa_Janeiro345911[[#This Row],[JUNHO]]</f>
        <v>0</v>
      </c>
      <c r="I346" s="62">
        <f>Fluxo_de_Caixa_Janeiro3459117[[#This Row],[JULHO]]</f>
        <v>0</v>
      </c>
      <c r="J346" s="62">
        <f>Fluxo_de_Caixa_Janeiro345911710[[#This Row],[AGOSTO]]</f>
        <v>0</v>
      </c>
      <c r="K346" s="62">
        <f>Fluxo_de_Caixa_Janeiro34591171012[[#This Row],[SETEMBRO]]</f>
        <v>0</v>
      </c>
      <c r="L346" s="62">
        <f>Fluxo_de_Caixa_Janeiro3459117101215[[#This Row],[OUTUBRO]]</f>
        <v>0</v>
      </c>
      <c r="M346" s="62">
        <f>Fluxo_de_Caixa_Janeiro345911710121516[[#This Row],[NOVEMBRO]]</f>
        <v>0</v>
      </c>
      <c r="N346" s="118">
        <f>Fluxo_de_Caixa_Janeiro34591171012151619[[#This Row],[DEZEMBRO]]</f>
        <v>0</v>
      </c>
      <c r="O346" s="243">
        <f>Fluxo_de_Caixa_Janeiro31020818[[#This Row],[Dezembro]]</f>
        <v>0</v>
      </c>
      <c r="P346" s="138" t="str">
        <f t="shared" si="18"/>
        <v>0,00%</v>
      </c>
      <c r="Q346" s="78"/>
      <c r="R346" s="34"/>
    </row>
    <row r="347" spans="2:19" x14ac:dyDescent="0.25">
      <c r="B347" s="47" t="str">
        <f>Fluxo_de_Caixa_Janeiro[[#This Row],[Fluxo de Caixa 2026 CTR]]</f>
        <v>1.9 - CONTA PERDA/ROUBO/BONIFICAÇÃO E DOAÇÃO</v>
      </c>
      <c r="C347" s="35">
        <f>Fluxo_de_Caixa_Janeiro[[#This Row],[Janeiro]]</f>
        <v>0</v>
      </c>
      <c r="D347" s="62">
        <f>Fluxo_de_Caixa_Janeiro3[[#This Row],[Fevereiro]]</f>
        <v>-20953.13</v>
      </c>
      <c r="E347" s="62">
        <f>Fluxo_de_Caixa_Janeiro34[[#This Row],[Março]]</f>
        <v>-20953.13</v>
      </c>
      <c r="F347" s="62">
        <f>Fluxo_de_Caixa_Janeiro345[[#This Row],[ABRIL]]</f>
        <v>-20953.13</v>
      </c>
      <c r="G347" s="62">
        <f>Fluxo_de_Caixa_Janeiro3459[[#This Row],[MAIO]]</f>
        <v>-25255.51</v>
      </c>
      <c r="H347" s="119">
        <f>Fluxo_de_Caixa_Janeiro345911[[#This Row],[JUNHO]]</f>
        <v>0</v>
      </c>
      <c r="I347" s="62">
        <f>Fluxo_de_Caixa_Janeiro3459117[[#This Row],[JULHO]]</f>
        <v>0</v>
      </c>
      <c r="J347" s="62">
        <f>Fluxo_de_Caixa_Janeiro345911710[[#This Row],[AGOSTO]]</f>
        <v>0</v>
      </c>
      <c r="K347" s="62">
        <f>Fluxo_de_Caixa_Janeiro34591171012[[#This Row],[SETEMBRO]]</f>
        <v>0</v>
      </c>
      <c r="L347" s="62">
        <f>Fluxo_de_Caixa_Janeiro3459117101215[[#This Row],[OUTUBRO]]</f>
        <v>0</v>
      </c>
      <c r="M347" s="62">
        <f>Fluxo_de_Caixa_Janeiro345911710121516[[#This Row],[NOVEMBRO]]</f>
        <v>0</v>
      </c>
      <c r="N347" s="118">
        <f>Fluxo_de_Caixa_Janeiro34591171012151619[[#This Row],[DEZEMBRO]]</f>
        <v>0</v>
      </c>
      <c r="O347" s="243">
        <f>Fluxo_de_Caixa_Janeiro31020818[[#This Row],[Dezembro]]</f>
        <v>0</v>
      </c>
      <c r="P347" s="138" t="str">
        <f t="shared" si="18"/>
        <v>0,00%</v>
      </c>
      <c r="Q347" s="78"/>
    </row>
    <row r="348" spans="2:19" x14ac:dyDescent="0.25">
      <c r="B348" s="47">
        <f>Fluxo_de_Caixa_Janeiro[[#This Row],[Fluxo de Caixa 2026 CTR]]</f>
        <v>0</v>
      </c>
      <c r="C348" s="35">
        <f>Fluxo_de_Caixa_Janeiro[[#This Row],[Janeiro]]</f>
        <v>0</v>
      </c>
      <c r="D348" s="62">
        <f>Fluxo_de_Caixa_Janeiro3[[#This Row],[Fevereiro]]</f>
        <v>0</v>
      </c>
      <c r="E348" s="62">
        <f>Fluxo_de_Caixa_Janeiro34[[#This Row],[Março]]</f>
        <v>0</v>
      </c>
      <c r="F348" s="62">
        <f>Fluxo_de_Caixa_Janeiro345[[#This Row],[ABRIL]]</f>
        <v>0</v>
      </c>
      <c r="G348" s="62">
        <f>Fluxo_de_Caixa_Janeiro3459[[#This Row],[MAIO]]</f>
        <v>0</v>
      </c>
      <c r="H348" s="119">
        <f>Fluxo_de_Caixa_Janeiro345911[[#This Row],[JUNHO]]</f>
        <v>0</v>
      </c>
      <c r="I348" s="62">
        <f>Fluxo_de_Caixa_Janeiro3459117[[#This Row],[JULHO]]</f>
        <v>0</v>
      </c>
      <c r="J348" s="62">
        <f>Fluxo_de_Caixa_Janeiro345911710[[#This Row],[AGOSTO]]</f>
        <v>0</v>
      </c>
      <c r="K348" s="62">
        <f>Fluxo_de_Caixa_Janeiro34591171012[[#This Row],[SETEMBRO]]</f>
        <v>0</v>
      </c>
      <c r="L348" s="62">
        <f>Fluxo_de_Caixa_Janeiro3459117101215[[#This Row],[OUTUBRO]]</f>
        <v>0</v>
      </c>
      <c r="M348" s="62">
        <f>Fluxo_de_Caixa_Janeiro345911710121516[[#This Row],[NOVEMBRO]]</f>
        <v>0</v>
      </c>
      <c r="N348" s="118">
        <f>Fluxo_de_Caixa_Janeiro34591171012151619[[#This Row],[DEZEMBRO]]</f>
        <v>0</v>
      </c>
      <c r="O348" s="243">
        <f>Fluxo_de_Caixa_Janeiro31020818[[#This Row],[Dezembro]]</f>
        <v>0</v>
      </c>
      <c r="P348" s="138" t="str">
        <f t="shared" si="18"/>
        <v>0,00%</v>
      </c>
      <c r="Q348" s="78"/>
    </row>
    <row r="349" spans="2:19" x14ac:dyDescent="0.25">
      <c r="B349" s="47" t="str">
        <f>Fluxo_de_Caixa_Janeiro[[#This Row],[Fluxo de Caixa 2026 CTR]]</f>
        <v>2.1 - BANCO DO BRASIL C.C.60638-3 FILIAL PALMAS</v>
      </c>
      <c r="C349" s="35">
        <f>Fluxo_de_Caixa_Janeiro[[#This Row],[Janeiro]]</f>
        <v>1829.48</v>
      </c>
      <c r="D349" s="62">
        <f>Fluxo_de_Caixa_Janeiro3[[#This Row],[Fevereiro]]</f>
        <v>65.56</v>
      </c>
      <c r="E349" s="62">
        <f>Fluxo_de_Caixa_Janeiro34[[#This Row],[Março]]</f>
        <v>33375.699999999997</v>
      </c>
      <c r="F349" s="62">
        <f>Fluxo_de_Caixa_Janeiro345[[#This Row],[ABRIL]]</f>
        <v>62169.13</v>
      </c>
      <c r="G349" s="62">
        <f>Fluxo_de_Caixa_Janeiro3459[[#This Row],[MAIO]]</f>
        <v>87184.33</v>
      </c>
      <c r="H349" s="119">
        <f>Fluxo_de_Caixa_Janeiro345911[[#This Row],[JUNHO]]</f>
        <v>0</v>
      </c>
      <c r="I349" s="62">
        <f>Fluxo_de_Caixa_Janeiro3459117[[#This Row],[JULHO]]</f>
        <v>0</v>
      </c>
      <c r="J349" s="62">
        <f>Fluxo_de_Caixa_Janeiro345911710[[#This Row],[AGOSTO]]</f>
        <v>0</v>
      </c>
      <c r="K349" s="62">
        <f>Fluxo_de_Caixa_Janeiro34591171012[[#This Row],[SETEMBRO]]</f>
        <v>0</v>
      </c>
      <c r="L349" s="62">
        <f>Fluxo_de_Caixa_Janeiro3459117101215[[#This Row],[OUTUBRO]]</f>
        <v>0</v>
      </c>
      <c r="M349" s="62">
        <f>Fluxo_de_Caixa_Janeiro345911710121516[[#This Row],[NOVEMBRO]]</f>
        <v>0</v>
      </c>
      <c r="N349" s="118">
        <f>Fluxo_de_Caixa_Janeiro34591171012151619[[#This Row],[DEZEMBRO]]</f>
        <v>0</v>
      </c>
      <c r="O349" s="243">
        <f>Fluxo_de_Caixa_Janeiro31020818[[#This Row],[Dezembro]]</f>
        <v>0</v>
      </c>
      <c r="P349" s="138" t="str">
        <f t="shared" si="18"/>
        <v>0,00%</v>
      </c>
      <c r="Q349" s="78"/>
    </row>
    <row r="350" spans="2:19" x14ac:dyDescent="0.25">
      <c r="B350" s="47">
        <f>Fluxo_de_Caixa_Janeiro[[#This Row],[Fluxo de Caixa 2026 CTR]]</f>
        <v>0</v>
      </c>
      <c r="C350" s="35">
        <f>Fluxo_de_Caixa_Janeiro[[#This Row],[Janeiro]]</f>
        <v>0</v>
      </c>
      <c r="D350" s="62">
        <f>Fluxo_de_Caixa_Janeiro3[[#This Row],[Fevereiro]]</f>
        <v>0</v>
      </c>
      <c r="E350" s="62">
        <f>Fluxo_de_Caixa_Janeiro34[[#This Row],[Março]]</f>
        <v>0</v>
      </c>
      <c r="F350" s="62">
        <f>Fluxo_de_Caixa_Janeiro345[[#This Row],[ABRIL]]</f>
        <v>0</v>
      </c>
      <c r="G350" s="62">
        <f>Fluxo_de_Caixa_Janeiro3459[[#This Row],[MAIO]]</f>
        <v>0</v>
      </c>
      <c r="H350" s="119">
        <f>Fluxo_de_Caixa_Janeiro345911[[#This Row],[JUNHO]]</f>
        <v>0</v>
      </c>
      <c r="I350" s="62">
        <f>Fluxo_de_Caixa_Janeiro3459117[[#This Row],[JULHO]]</f>
        <v>0</v>
      </c>
      <c r="J350" s="62">
        <f>Fluxo_de_Caixa_Janeiro345911710[[#This Row],[AGOSTO]]</f>
        <v>0</v>
      </c>
      <c r="K350" s="62">
        <f>Fluxo_de_Caixa_Janeiro34591171012[[#This Row],[SETEMBRO]]</f>
        <v>0</v>
      </c>
      <c r="L350" s="62">
        <f>Fluxo_de_Caixa_Janeiro3459117101215[[#This Row],[OUTUBRO]]</f>
        <v>0</v>
      </c>
      <c r="M350" s="62">
        <f>Fluxo_de_Caixa_Janeiro345911710121516[[#This Row],[NOVEMBRO]]</f>
        <v>0</v>
      </c>
      <c r="N350" s="118">
        <f>Fluxo_de_Caixa_Janeiro34591171012151619[[#This Row],[DEZEMBRO]]</f>
        <v>0</v>
      </c>
      <c r="O350" s="243">
        <f>Fluxo_de_Caixa_Janeiro31020818[[#This Row],[Dezembro]]</f>
        <v>0</v>
      </c>
      <c r="P350" s="138" t="str">
        <f t="shared" si="18"/>
        <v>0,00%</v>
      </c>
      <c r="Q350" s="78"/>
    </row>
    <row r="351" spans="2:19" x14ac:dyDescent="0.25">
      <c r="B351" s="47">
        <f>Fluxo_de_Caixa_Janeiro[[#This Row],[Fluxo de Caixa 2026 CTR]]</f>
        <v>0</v>
      </c>
      <c r="C351" s="35">
        <f>Fluxo_de_Caixa_Janeiro[[#This Row],[Janeiro]]</f>
        <v>0</v>
      </c>
      <c r="D351" s="62">
        <f>Fluxo_de_Caixa_Janeiro3[[#This Row],[Fevereiro]]</f>
        <v>0</v>
      </c>
      <c r="E351" s="62">
        <f>Fluxo_de_Caixa_Janeiro34[[#This Row],[Março]]</f>
        <v>0</v>
      </c>
      <c r="F351" s="62">
        <f>Fluxo_de_Caixa_Janeiro345[[#This Row],[ABRIL]]</f>
        <v>0</v>
      </c>
      <c r="G351" s="62">
        <f>Fluxo_de_Caixa_Janeiro3459[[#This Row],[MAIO]]</f>
        <v>0</v>
      </c>
      <c r="H351" s="119">
        <f>Fluxo_de_Caixa_Janeiro345911[[#This Row],[JUNHO]]</f>
        <v>0</v>
      </c>
      <c r="I351" s="62">
        <f>Fluxo_de_Caixa_Janeiro3459117[[#This Row],[JULHO]]</f>
        <v>0</v>
      </c>
      <c r="J351" s="62">
        <f>Fluxo_de_Caixa_Janeiro345911710[[#This Row],[AGOSTO]]</f>
        <v>0</v>
      </c>
      <c r="K351" s="62">
        <f>Fluxo_de_Caixa_Janeiro34591171012[[#This Row],[SETEMBRO]]</f>
        <v>0</v>
      </c>
      <c r="L351" s="62">
        <f>Fluxo_de_Caixa_Janeiro3459117101215[[#This Row],[OUTUBRO]]</f>
        <v>0</v>
      </c>
      <c r="M351" s="62">
        <f>Fluxo_de_Caixa_Janeiro345911710121516[[#This Row],[NOVEMBRO]]</f>
        <v>0</v>
      </c>
      <c r="N351" s="118">
        <f>Fluxo_de_Caixa_Janeiro34591171012151619[[#This Row],[DEZEMBRO]]</f>
        <v>0</v>
      </c>
      <c r="O351" s="243">
        <f>Fluxo_de_Caixa_Janeiro31020818[[#This Row],[Dezembro]]</f>
        <v>0</v>
      </c>
      <c r="P351" s="138" t="str">
        <f t="shared" si="18"/>
        <v>0,00%</v>
      </c>
      <c r="Q351" s="115"/>
    </row>
    <row r="352" spans="2:19" x14ac:dyDescent="0.25">
      <c r="B352" s="47" t="str">
        <f>Fluxo_de_Caixa_Janeiro[[#This Row],[Fluxo de Caixa 2026 CTR]]</f>
        <v>2.4 - ITAU C.C.98669-0 FILIAL PALMAS</v>
      </c>
      <c r="C352" s="35">
        <f>Fluxo_de_Caixa_Janeiro[[#This Row],[Janeiro]]</f>
        <v>536.72</v>
      </c>
      <c r="D352" s="62">
        <f>Fluxo_de_Caixa_Janeiro3[[#This Row],[Fevereiro]]</f>
        <v>37.729999999999997</v>
      </c>
      <c r="E352" s="62">
        <f>Fluxo_de_Caixa_Janeiro34[[#This Row],[Março]]</f>
        <v>37.729999999999997</v>
      </c>
      <c r="F352" s="62">
        <f>Fluxo_de_Caixa_Janeiro345[[#This Row],[ABRIL]]</f>
        <v>37.729999999999997</v>
      </c>
      <c r="G352" s="62">
        <f>Fluxo_de_Caixa_Janeiro3459[[#This Row],[MAIO]]</f>
        <v>37.729999999999997</v>
      </c>
      <c r="H352" s="119">
        <f>Fluxo_de_Caixa_Janeiro345911[[#This Row],[JUNHO]]</f>
        <v>0</v>
      </c>
      <c r="I352" s="62">
        <f>Fluxo_de_Caixa_Janeiro3459117[[#This Row],[JULHO]]</f>
        <v>0</v>
      </c>
      <c r="J352" s="62">
        <f>Fluxo_de_Caixa_Janeiro345911710[[#This Row],[AGOSTO]]</f>
        <v>0</v>
      </c>
      <c r="K352" s="62">
        <f>Fluxo_de_Caixa_Janeiro34591171012[[#This Row],[SETEMBRO]]</f>
        <v>0</v>
      </c>
      <c r="L352" s="62">
        <f>Fluxo_de_Caixa_Janeiro3459117101215[[#This Row],[OUTUBRO]]</f>
        <v>0</v>
      </c>
      <c r="M352" s="62">
        <f>Fluxo_de_Caixa_Janeiro345911710121516[[#This Row],[NOVEMBRO]]</f>
        <v>0</v>
      </c>
      <c r="N352" s="118">
        <f>Fluxo_de_Caixa_Janeiro34591171012151619[[#This Row],[DEZEMBRO]]</f>
        <v>0</v>
      </c>
      <c r="O352" s="243">
        <f>Fluxo_de_Caixa_Janeiro31020818[[#This Row],[Dezembro]]</f>
        <v>0</v>
      </c>
      <c r="P352" s="138" t="str">
        <f t="shared" si="18"/>
        <v>0,00%</v>
      </c>
      <c r="Q352" s="644"/>
    </row>
    <row r="353" spans="2:17" x14ac:dyDescent="0.25">
      <c r="B353" s="47" t="str">
        <f>Fluxo_de_Caixa_Janeiro[[#This Row],[Fluxo de Caixa 2026 CTR]]</f>
        <v>2.9 - CONTA PERDA/ROUBO E BONIFICAÇÃO FILIAL</v>
      </c>
      <c r="C353" s="35">
        <f>Fluxo_de_Caixa_Janeiro[[#This Row],[Janeiro]]</f>
        <v>-219.15</v>
      </c>
      <c r="D353" s="62">
        <f>Fluxo_de_Caixa_Janeiro3[[#This Row],[Fevereiro]]</f>
        <v>-8598.58</v>
      </c>
      <c r="E353" s="62">
        <f>Fluxo_de_Caixa_Janeiro34[[#This Row],[Março]]</f>
        <v>-8598.58</v>
      </c>
      <c r="F353" s="62">
        <f>Fluxo_de_Caixa_Janeiro345[[#This Row],[ABRIL]]</f>
        <v>-8367.5</v>
      </c>
      <c r="G353" s="62">
        <f>Fluxo_de_Caixa_Janeiro3459[[#This Row],[MAIO]]</f>
        <v>-8367.5</v>
      </c>
      <c r="H353" s="119">
        <f>Fluxo_de_Caixa_Janeiro345911[[#This Row],[JUNHO]]</f>
        <v>0</v>
      </c>
      <c r="I353" s="62">
        <f>Fluxo_de_Caixa_Janeiro3459117[[#This Row],[JULHO]]</f>
        <v>0</v>
      </c>
      <c r="J353" s="62">
        <f>Fluxo_de_Caixa_Janeiro345911710[[#This Row],[AGOSTO]]</f>
        <v>0</v>
      </c>
      <c r="K353" s="62">
        <f>Fluxo_de_Caixa_Janeiro34591171012[[#This Row],[SETEMBRO]]</f>
        <v>0</v>
      </c>
      <c r="L353" s="62">
        <f>Fluxo_de_Caixa_Janeiro3459117101215[[#This Row],[OUTUBRO]]</f>
        <v>0</v>
      </c>
      <c r="M353" s="62">
        <f>Fluxo_de_Caixa_Janeiro345911710121516[[#This Row],[NOVEMBRO]]</f>
        <v>0</v>
      </c>
      <c r="N353" s="118">
        <f>Fluxo_de_Caixa_Janeiro34591171012151619[[#This Row],[DEZEMBRO]]</f>
        <v>0</v>
      </c>
      <c r="O353" s="243">
        <f>Fluxo_de_Caixa_Janeiro31020818[[#This Row],[Dezembro]]</f>
        <v>0</v>
      </c>
      <c r="P353" s="138" t="str">
        <f t="shared" si="18"/>
        <v>0,00%</v>
      </c>
      <c r="Q353" s="644"/>
    </row>
    <row r="354" spans="2:17" x14ac:dyDescent="0.25">
      <c r="B354" s="47" t="str">
        <f>Fluxo_de_Caixa_Janeiro[[#This Row],[Fluxo de Caixa 2026 CTR]]</f>
        <v>4.0 - TESOURARIA FILIAL PORTO</v>
      </c>
      <c r="C354" s="35">
        <f>Fluxo_de_Caixa_Janeiro[[#This Row],[Janeiro]]</f>
        <v>385.51</v>
      </c>
      <c r="D354" s="62">
        <f>Fluxo_de_Caixa_Janeiro3[[#This Row],[Fevereiro]]</f>
        <v>1327.43</v>
      </c>
      <c r="E354" s="62">
        <f>Fluxo_de_Caixa_Janeiro34[[#This Row],[Março]]</f>
        <v>534.16</v>
      </c>
      <c r="F354" s="62">
        <f>Fluxo_de_Caixa_Janeiro345[[#This Row],[ABRIL]]</f>
        <v>372.39</v>
      </c>
      <c r="G354" s="62">
        <f>Fluxo_de_Caixa_Janeiro3459[[#This Row],[MAIO]]</f>
        <v>1465.27</v>
      </c>
      <c r="H354" s="119">
        <f>Fluxo_de_Caixa_Janeiro345911[[#This Row],[JUNHO]]</f>
        <v>0</v>
      </c>
      <c r="I354" s="62">
        <f>Fluxo_de_Caixa_Janeiro3459117[[#This Row],[JULHO]]</f>
        <v>0</v>
      </c>
      <c r="J354" s="62">
        <f>Fluxo_de_Caixa_Janeiro345911710[[#This Row],[AGOSTO]]</f>
        <v>0</v>
      </c>
      <c r="K354" s="62">
        <f>Fluxo_de_Caixa_Janeiro34591171012[[#This Row],[SETEMBRO]]</f>
        <v>0</v>
      </c>
      <c r="L354" s="62">
        <f>Fluxo_de_Caixa_Janeiro3459117101215[[#This Row],[OUTUBRO]]</f>
        <v>0</v>
      </c>
      <c r="M354" s="62">
        <f>Fluxo_de_Caixa_Janeiro345911710121516[[#This Row],[NOVEMBRO]]</f>
        <v>0</v>
      </c>
      <c r="N354" s="118">
        <f>Fluxo_de_Caixa_Janeiro34591171012151619[[#This Row],[DEZEMBRO]]</f>
        <v>0</v>
      </c>
      <c r="O354" s="243">
        <f>Fluxo_de_Caixa_Janeiro31020818[[#This Row],[Dezembro]]</f>
        <v>0</v>
      </c>
      <c r="P354" s="138" t="str">
        <f t="shared" si="18"/>
        <v>0,00%</v>
      </c>
      <c r="Q354" s="644"/>
    </row>
    <row r="355" spans="2:17" x14ac:dyDescent="0.25">
      <c r="B355" s="47" t="str">
        <f>Fluxo_de_Caixa_Janeiro[[#This Row],[Fluxo de Caixa 2026 CTR]]</f>
        <v>4.1 -  BANCO DO BRASIL C.C.61105-0 FILIAL PORTO</v>
      </c>
      <c r="C355" s="35">
        <f>Fluxo_de_Caixa_Janeiro[[#This Row],[Janeiro]]</f>
        <v>16.829999999999998</v>
      </c>
      <c r="D355" s="62">
        <f>Fluxo_de_Caixa_Janeiro3[[#This Row],[Fevereiro]]</f>
        <v>111.93</v>
      </c>
      <c r="E355" s="62">
        <f>Fluxo_de_Caixa_Janeiro34[[#This Row],[Março]]</f>
        <v>521.91999999999996</v>
      </c>
      <c r="F355" s="62">
        <f>Fluxo_de_Caixa_Janeiro345[[#This Row],[ABRIL]]</f>
        <v>308.02999999999997</v>
      </c>
      <c r="G355" s="62">
        <f>Fluxo_de_Caixa_Janeiro3459[[#This Row],[MAIO]]</f>
        <v>242.15</v>
      </c>
      <c r="H355" s="119">
        <f>Fluxo_de_Caixa_Janeiro345911[[#This Row],[JUNHO]]</f>
        <v>0</v>
      </c>
      <c r="I355" s="62">
        <f>Fluxo_de_Caixa_Janeiro3459117[[#This Row],[JULHO]]</f>
        <v>0</v>
      </c>
      <c r="J355" s="62">
        <f>Fluxo_de_Caixa_Janeiro345911710[[#This Row],[AGOSTO]]</f>
        <v>0</v>
      </c>
      <c r="K355" s="62">
        <f>Fluxo_de_Caixa_Janeiro34591171012[[#This Row],[SETEMBRO]]</f>
        <v>0</v>
      </c>
      <c r="L355" s="62">
        <f>Fluxo_de_Caixa_Janeiro3459117101215[[#This Row],[OUTUBRO]]</f>
        <v>0</v>
      </c>
      <c r="M355" s="62">
        <f>Fluxo_de_Caixa_Janeiro345911710121516[[#This Row],[NOVEMBRO]]</f>
        <v>0</v>
      </c>
      <c r="N355" s="118">
        <f>Fluxo_de_Caixa_Janeiro34591171012151619[[#This Row],[DEZEMBRO]]</f>
        <v>0</v>
      </c>
      <c r="O355" s="243">
        <f>Fluxo_de_Caixa_Janeiro31020818[[#This Row],[Dezembro]]</f>
        <v>0</v>
      </c>
      <c r="P355" s="138" t="str">
        <f t="shared" si="18"/>
        <v>0,00%</v>
      </c>
      <c r="Q355" s="644"/>
    </row>
    <row r="356" spans="2:17" x14ac:dyDescent="0.25">
      <c r="B356" s="47">
        <f>Fluxo_de_Caixa_Janeiro[[#This Row],[Fluxo de Caixa 2026 CTR]]</f>
        <v>0</v>
      </c>
      <c r="C356" s="35">
        <f>Fluxo_de_Caixa_Janeiro[[#This Row],[Janeiro]]</f>
        <v>0</v>
      </c>
      <c r="D356" s="62">
        <f>Fluxo_de_Caixa_Janeiro3[[#This Row],[Fevereiro]]</f>
        <v>0</v>
      </c>
      <c r="E356" s="62">
        <f>Fluxo_de_Caixa_Janeiro34[[#This Row],[Março]]</f>
        <v>0</v>
      </c>
      <c r="F356" s="62">
        <f>Fluxo_de_Caixa_Janeiro345[[#This Row],[ABRIL]]</f>
        <v>0</v>
      </c>
      <c r="G356" s="62">
        <f>Fluxo_de_Caixa_Janeiro3459[[#This Row],[MAIO]]</f>
        <v>0</v>
      </c>
      <c r="H356" s="119">
        <f>Fluxo_de_Caixa_Janeiro345911[[#This Row],[JUNHO]]</f>
        <v>0</v>
      </c>
      <c r="I356" s="62">
        <f>Fluxo_de_Caixa_Janeiro3459117[[#This Row],[JULHO]]</f>
        <v>0</v>
      </c>
      <c r="J356" s="62">
        <f>Fluxo_de_Caixa_Janeiro345911710[[#This Row],[AGOSTO]]</f>
        <v>0</v>
      </c>
      <c r="K356" s="62">
        <f>Fluxo_de_Caixa_Janeiro34591171012[[#This Row],[SETEMBRO]]</f>
        <v>0</v>
      </c>
      <c r="L356" s="62">
        <f>Fluxo_de_Caixa_Janeiro3459117101215[[#This Row],[OUTUBRO]]</f>
        <v>0</v>
      </c>
      <c r="M356" s="62">
        <f>Fluxo_de_Caixa_Janeiro345911710121516[[#This Row],[NOVEMBRO]]</f>
        <v>0</v>
      </c>
      <c r="N356" s="118">
        <f>Fluxo_de_Caixa_Janeiro34591171012151619[[#This Row],[DEZEMBRO]]</f>
        <v>0</v>
      </c>
      <c r="O356" s="243">
        <f>Fluxo_de_Caixa_Janeiro31020818[[#This Row],[Dezembro]]</f>
        <v>0</v>
      </c>
      <c r="P356" s="138" t="str">
        <f t="shared" si="18"/>
        <v>0,00%</v>
      </c>
      <c r="Q356" s="644"/>
    </row>
    <row r="357" spans="2:17" x14ac:dyDescent="0.25">
      <c r="B357" s="47" t="str">
        <f>Fluxo_de_Caixa_Janeiro[[#This Row],[Fluxo de Caixa 2026 CTR]]</f>
        <v>4.4 - MERCADO PAGO PIX FILIAL PORTO</v>
      </c>
      <c r="C357" s="35">
        <f>Fluxo_de_Caixa_Janeiro[[#This Row],[Janeiro]]</f>
        <v>2060.42</v>
      </c>
      <c r="D357" s="62">
        <f>Fluxo_de_Caixa_Janeiro3[[#This Row],[Fevereiro]]</f>
        <v>22539.57</v>
      </c>
      <c r="E357" s="62">
        <f>Fluxo_de_Caixa_Janeiro34[[#This Row],[Março]]</f>
        <v>13187.1</v>
      </c>
      <c r="F357" s="62">
        <f>Fluxo_de_Caixa_Janeiro345[[#This Row],[ABRIL]]</f>
        <v>6468.92</v>
      </c>
      <c r="G357" s="62">
        <f>Fluxo_de_Caixa_Janeiro3459[[#This Row],[MAIO]]</f>
        <v>1811.61</v>
      </c>
      <c r="H357" s="119">
        <f>Fluxo_de_Caixa_Janeiro345911[[#This Row],[JUNHO]]</f>
        <v>0</v>
      </c>
      <c r="I357" s="62">
        <f>Fluxo_de_Caixa_Janeiro3459117[[#This Row],[JULHO]]</f>
        <v>0</v>
      </c>
      <c r="J357" s="62">
        <f>Fluxo_de_Caixa_Janeiro345911710[[#This Row],[AGOSTO]]</f>
        <v>0</v>
      </c>
      <c r="K357" s="62">
        <f>Fluxo_de_Caixa_Janeiro34591171012[[#This Row],[SETEMBRO]]</f>
        <v>0</v>
      </c>
      <c r="L357" s="62">
        <f>Fluxo_de_Caixa_Janeiro3459117101215[[#This Row],[OUTUBRO]]</f>
        <v>0</v>
      </c>
      <c r="M357" s="62">
        <f>Fluxo_de_Caixa_Janeiro345911710121516[[#This Row],[NOVEMBRO]]</f>
        <v>0</v>
      </c>
      <c r="N357" s="118">
        <f>Fluxo_de_Caixa_Janeiro34591171012151619[[#This Row],[DEZEMBRO]]</f>
        <v>0</v>
      </c>
      <c r="O357" s="243">
        <f>Fluxo_de_Caixa_Janeiro31020818[[#This Row],[Dezembro]]</f>
        <v>0</v>
      </c>
      <c r="P357" s="138" t="str">
        <f t="shared" si="18"/>
        <v>0,00%</v>
      </c>
      <c r="Q357" s="644"/>
    </row>
    <row r="358" spans="2:17" x14ac:dyDescent="0.25">
      <c r="B358" s="47" t="str">
        <f>Fluxo_de_Caixa_Janeiro[[#This Row],[Fluxo de Caixa 2026 CTR]]</f>
        <v>4.9 - CONTA PERDA/ROUBO E BONIFICAÇÃO FILIAL</v>
      </c>
      <c r="C358" s="35">
        <f>Fluxo_de_Caixa_Janeiro[[#This Row],[Janeiro]]</f>
        <v>0</v>
      </c>
      <c r="D358" s="62">
        <f>Fluxo_de_Caixa_Janeiro3[[#This Row],[Fevereiro]]</f>
        <v>-29071.86</v>
      </c>
      <c r="E358" s="62">
        <f>Fluxo_de_Caixa_Janeiro34[[#This Row],[Março]]</f>
        <v>-29071.86</v>
      </c>
      <c r="F358" s="62">
        <f>Fluxo_de_Caixa_Janeiro345[[#This Row],[ABRIL]]</f>
        <v>-29071.86</v>
      </c>
      <c r="G358" s="62">
        <f>Fluxo_de_Caixa_Janeiro3459[[#This Row],[MAIO]]</f>
        <v>-29071.86</v>
      </c>
      <c r="H358" s="119">
        <f>Fluxo_de_Caixa_Janeiro345911[[#This Row],[JUNHO]]</f>
        <v>0</v>
      </c>
      <c r="I358" s="62">
        <f>Fluxo_de_Caixa_Janeiro3459117[[#This Row],[JULHO]]</f>
        <v>0</v>
      </c>
      <c r="J358" s="62">
        <f>Fluxo_de_Caixa_Janeiro345911710[[#This Row],[AGOSTO]]</f>
        <v>0</v>
      </c>
      <c r="K358" s="62">
        <f>Fluxo_de_Caixa_Janeiro34591171012[[#This Row],[SETEMBRO]]</f>
        <v>0</v>
      </c>
      <c r="L358" s="62">
        <f>Fluxo_de_Caixa_Janeiro3459117101215[[#This Row],[OUTUBRO]]</f>
        <v>0</v>
      </c>
      <c r="M358" s="62">
        <f>Fluxo_de_Caixa_Janeiro345911710121516[[#This Row],[NOVEMBRO]]</f>
        <v>0</v>
      </c>
      <c r="N358" s="118">
        <f>Fluxo_de_Caixa_Janeiro34591171012151619[[#This Row],[DEZEMBRO]]</f>
        <v>0</v>
      </c>
      <c r="O358" s="243">
        <f>Fluxo_de_Caixa_Janeiro31020818[[#This Row],[Dezembro]]</f>
        <v>0</v>
      </c>
      <c r="P358" s="138" t="str">
        <f t="shared" si="18"/>
        <v>0,00%</v>
      </c>
      <c r="Q358" s="644"/>
    </row>
    <row r="359" spans="2:17" ht="15.75" thickBot="1" x14ac:dyDescent="0.3">
      <c r="B359" s="47" t="str">
        <f>Fluxo_de_Caixa_Janeiro[[#This Row],[Fluxo de Caixa 2026 CTR]]</f>
        <v>91.CARTÃO ENDERED 5099+4596+6933+8072 - ESCRITORIO</v>
      </c>
      <c r="C359" s="35">
        <f>Fluxo_de_Caixa_Janeiro[[#This Row],[Janeiro]]</f>
        <v>1362.74</v>
      </c>
      <c r="D359" s="62">
        <f>Fluxo_de_Caixa_Janeiro3[[#This Row],[Fevereiro]]</f>
        <v>1948.05</v>
      </c>
      <c r="E359" s="62">
        <f>Fluxo_de_Caixa_Janeiro34[[#This Row],[Março]]</f>
        <v>4229.6900000000005</v>
      </c>
      <c r="F359" s="62">
        <f>Fluxo_de_Caixa_Janeiro345[[#This Row],[ABRIL]]</f>
        <v>3055.0099999999998</v>
      </c>
      <c r="G359" s="62">
        <f>Fluxo_de_Caixa_Janeiro3459[[#This Row],[MAIO]]</f>
        <v>4162.5600000000004</v>
      </c>
      <c r="H359" s="119">
        <f>Fluxo_de_Caixa_Janeiro345911[[#This Row],[JUNHO]]</f>
        <v>0</v>
      </c>
      <c r="I359" s="62">
        <f>Fluxo_de_Caixa_Janeiro3459117[[#This Row],[JULHO]]</f>
        <v>0</v>
      </c>
      <c r="J359" s="62">
        <f>Fluxo_de_Caixa_Janeiro345911710[[#This Row],[AGOSTO]]</f>
        <v>0</v>
      </c>
      <c r="K359" s="62">
        <f>Fluxo_de_Caixa_Janeiro34591171012[[#This Row],[SETEMBRO]]</f>
        <v>0</v>
      </c>
      <c r="L359" s="62">
        <f>Fluxo_de_Caixa_Janeiro3459117101215[[#This Row],[OUTUBRO]]</f>
        <v>0</v>
      </c>
      <c r="M359" s="62">
        <f>Fluxo_de_Caixa_Janeiro345911710121516[[#This Row],[NOVEMBRO]]</f>
        <v>0</v>
      </c>
      <c r="N359" s="118">
        <f>Fluxo_de_Caixa_Janeiro34591171012151619[[#This Row],[DEZEMBRO]]</f>
        <v>0</v>
      </c>
      <c r="O359" s="243">
        <f>Fluxo_de_Caixa_Janeiro31020818[[#This Row],[Dezembro]]</f>
        <v>0</v>
      </c>
      <c r="P359" s="138" t="str">
        <f t="shared" si="18"/>
        <v>0,00%</v>
      </c>
      <c r="Q359" s="644"/>
    </row>
    <row r="360" spans="2:17" ht="15.75" hidden="1" thickBot="1" x14ac:dyDescent="0.3">
      <c r="B360" s="47">
        <f>Fluxo_de_Caixa_Janeiro[[#This Row],[Fluxo de Caixa 2026 CTR]]</f>
        <v>0</v>
      </c>
      <c r="C360" s="35">
        <f>Fluxo_de_Caixa_Janeiro[[#This Row],[Janeiro]]</f>
        <v>0</v>
      </c>
      <c r="D360" s="62">
        <f>Fluxo_de_Caixa_Janeiro3[[#This Row],[Fevereiro]]</f>
        <v>0</v>
      </c>
      <c r="E360" s="62">
        <f>Fluxo_de_Caixa_Janeiro34[[#This Row],[Março]]</f>
        <v>0</v>
      </c>
      <c r="F360" s="62">
        <f>Fluxo_de_Caixa_Janeiro345[[#This Row],[ABRIL]]</f>
        <v>0</v>
      </c>
      <c r="G360" s="62">
        <f>Fluxo_de_Caixa_Janeiro3459[[#This Row],[MAIO]]</f>
        <v>0</v>
      </c>
      <c r="H360" s="119">
        <f>Fluxo_de_Caixa_Janeiro345911[[#This Row],[JUNHO]]</f>
        <v>0</v>
      </c>
      <c r="I360" s="62">
        <f>Fluxo_de_Caixa_Janeiro3459117[[#This Row],[JULHO]]</f>
        <v>0</v>
      </c>
      <c r="J360" s="62">
        <f>Fluxo_de_Caixa_Janeiro345911710[[#This Row],[AGOSTO]]</f>
        <v>0</v>
      </c>
      <c r="K360" s="62">
        <f>Fluxo_de_Caixa_Janeiro34591171012[[#This Row],[SETEMBRO]]</f>
        <v>0</v>
      </c>
      <c r="L360" s="62">
        <f>Fluxo_de_Caixa_Janeiro3459117101215[[#This Row],[OUTUBRO]]</f>
        <v>0</v>
      </c>
      <c r="M360" s="62">
        <f>Fluxo_de_Caixa_Janeiro345911710121516[[#This Row],[NOVEMBRO]]</f>
        <v>0</v>
      </c>
      <c r="N360" s="118">
        <f>Fluxo_de_Caixa_Janeiro34591171012151619[[#This Row],[DEZEMBRO]]</f>
        <v>0</v>
      </c>
      <c r="O360" s="243">
        <f>Fluxo_de_Caixa_Janeiro31020818[[#This Row],[Dezembro]]</f>
        <v>0</v>
      </c>
      <c r="P360" s="138" t="str">
        <f t="shared" si="18"/>
        <v>0,00%</v>
      </c>
      <c r="Q360" s="644"/>
    </row>
    <row r="361" spans="2:17" ht="24" thickBot="1" x14ac:dyDescent="0.4">
      <c r="B361" s="176"/>
      <c r="C361" s="164">
        <f>Fluxo_de_Caixa_Janeiro[[#This Row],[Janeiro]]</f>
        <v>-150.01000000001295</v>
      </c>
      <c r="D361" s="116">
        <f>Fluxo_de_Caixa_Janeiro3[[#This Row],[Fevereiro]]</f>
        <v>180.01000000016575</v>
      </c>
      <c r="E361" s="116">
        <f>Fluxo_de_Caixa_Janeiro34[[#This Row],[Março]]</f>
        <v>220.65999999997439</v>
      </c>
      <c r="F361" s="116">
        <f>Fluxo_de_Caixa_Janeiro345[[#This Row],[ABRIL]]</f>
        <v>250.32000000018161</v>
      </c>
      <c r="G361" s="116">
        <f>Fluxo_de_Caixa_Janeiro3459[[#This Row],[MAIO]]</f>
        <v>-99.700000000069849</v>
      </c>
      <c r="H361" s="116">
        <f>Fluxo_de_Caixa_Janeiro345911[[#This Row],[JUNHO]]</f>
        <v>-730895.57000000007</v>
      </c>
      <c r="I361" s="164">
        <f>Fluxo_de_Caixa_Janeiro3459117[[#This Row],[JULHO]]</f>
        <v>0</v>
      </c>
      <c r="J361" s="116">
        <f>Fluxo_de_Caixa_Janeiro345911710[[#This Row],[AGOSTO]]</f>
        <v>0</v>
      </c>
      <c r="K361" s="116">
        <f>Fluxo_de_Caixa_Janeiro34591171012[[#This Row],[SETEMBRO]]</f>
        <v>0</v>
      </c>
      <c r="L361" s="116">
        <f>Fluxo_de_Caixa_Janeiro3459117101215[[#This Row],[OUTUBRO]]</f>
        <v>0</v>
      </c>
      <c r="M361" s="116">
        <f>Fluxo_de_Caixa_Janeiro345911710121516[[#This Row],[NOVEMBRO]]</f>
        <v>0</v>
      </c>
      <c r="N361" s="136">
        <f>Fluxo_de_Caixa_Janeiro34591171012151619[[#This Row],[DEZEMBRO]]</f>
        <v>0</v>
      </c>
      <c r="O361" s="245">
        <f>O336-O335</f>
        <v>-732724.08999999892</v>
      </c>
      <c r="P361" s="255" t="str">
        <f t="shared" si="17"/>
        <v>0,00%</v>
      </c>
      <c r="Q361" s="117"/>
    </row>
    <row r="362" spans="2:17" x14ac:dyDescent="0.25">
      <c r="C362" s="404">
        <f>SUM(C337:C346,C348:C357,C359)</f>
        <v>31847.63</v>
      </c>
      <c r="D362" s="404">
        <f t="shared" ref="D362:N362" si="19">SUM(D337:D346,D348:D357,D359)</f>
        <v>58982.580000000009</v>
      </c>
      <c r="E362" s="404">
        <f t="shared" si="19"/>
        <v>487620.56999999989</v>
      </c>
      <c r="F362" s="404">
        <f t="shared" si="19"/>
        <v>565160.9</v>
      </c>
      <c r="G362" s="404">
        <f t="shared" si="19"/>
        <v>787452.74</v>
      </c>
      <c r="H362" s="404">
        <f t="shared" si="19"/>
        <v>0</v>
      </c>
      <c r="I362" s="404">
        <f t="shared" si="19"/>
        <v>0</v>
      </c>
      <c r="J362" s="404">
        <f t="shared" si="19"/>
        <v>0</v>
      </c>
      <c r="K362" s="404">
        <f t="shared" si="19"/>
        <v>0</v>
      </c>
      <c r="L362" s="404">
        <f t="shared" si="19"/>
        <v>0</v>
      </c>
      <c r="M362" s="404">
        <f t="shared" si="19"/>
        <v>0</v>
      </c>
      <c r="N362" s="404">
        <f t="shared" si="19"/>
        <v>0</v>
      </c>
    </row>
    <row r="364" spans="2:17" x14ac:dyDescent="0.25">
      <c r="C364" s="669">
        <v>44926</v>
      </c>
      <c r="D364" s="670"/>
      <c r="E364" s="670"/>
      <c r="F364" s="670"/>
      <c r="G364" s="670"/>
      <c r="H364" s="670"/>
      <c r="J364" s="669">
        <v>45260</v>
      </c>
      <c r="K364" s="670"/>
      <c r="L364" s="670"/>
      <c r="M364" s="670"/>
      <c r="N364" s="670"/>
      <c r="O364" s="670"/>
    </row>
    <row r="365" spans="2:17" x14ac:dyDescent="0.25">
      <c r="C365" s="670"/>
      <c r="D365" s="670"/>
      <c r="E365" s="670"/>
      <c r="F365" s="670"/>
      <c r="G365" s="670"/>
      <c r="H365" s="670"/>
      <c r="J365" s="670"/>
      <c r="K365" s="670"/>
      <c r="L365" s="670"/>
      <c r="M365" s="670"/>
      <c r="N365" s="670"/>
      <c r="O365" s="670"/>
    </row>
    <row r="366" spans="2:17" x14ac:dyDescent="0.25">
      <c r="C366" s="670"/>
      <c r="D366" s="670"/>
      <c r="E366" s="670"/>
      <c r="F366" s="670"/>
      <c r="G366" s="670"/>
      <c r="H366" s="670"/>
      <c r="J366" s="670"/>
      <c r="K366" s="670"/>
      <c r="L366" s="670"/>
      <c r="M366" s="670"/>
      <c r="N366" s="670"/>
      <c r="O366" s="670"/>
    </row>
    <row r="367" spans="2:17" x14ac:dyDescent="0.25">
      <c r="L367" s="287"/>
      <c r="O367" s="287"/>
    </row>
    <row r="368" spans="2:17" x14ac:dyDescent="0.25">
      <c r="L368" s="285"/>
      <c r="N368" s="472"/>
      <c r="O368" s="285"/>
    </row>
    <row r="369" spans="11:15" x14ac:dyDescent="0.25">
      <c r="K369" s="472"/>
      <c r="L369" s="287"/>
      <c r="O369" s="287"/>
    </row>
    <row r="370" spans="11:15" x14ac:dyDescent="0.25">
      <c r="L370" s="246"/>
    </row>
    <row r="371" spans="11:15" x14ac:dyDescent="0.25">
      <c r="L371" s="287"/>
      <c r="O371" s="287"/>
    </row>
    <row r="403" spans="10:13" x14ac:dyDescent="0.25">
      <c r="M403" t="s">
        <v>248</v>
      </c>
    </row>
    <row r="404" spans="10:13" ht="23.25" x14ac:dyDescent="0.35">
      <c r="M404" s="286">
        <f>3094750.98-1424480.03</f>
        <v>1670270.95</v>
      </c>
    </row>
    <row r="406" spans="10:13" ht="23.25" x14ac:dyDescent="0.35">
      <c r="J406" s="569">
        <v>45276</v>
      </c>
    </row>
    <row r="413" spans="10:13" hidden="1" x14ac:dyDescent="0.25"/>
    <row r="415" spans="10:13" hidden="1" x14ac:dyDescent="0.25"/>
    <row r="421" hidden="1" x14ac:dyDescent="0.25"/>
  </sheetData>
  <protectedRanges>
    <protectedRange sqref="O326:O329 O311:O314 O276:O293" name="Despesas nao operacionais"/>
    <protectedRange sqref="O249:O255 O241:O247 O257:O260 O262:O271" name="Receita nao opercional"/>
    <protectedRange sqref="O26" name="Bancos"/>
    <protectedRange sqref="O51 O29:O47" name="Total Receitas Operacionais  Vendas"/>
    <protectedRange sqref="O61:O63 O71:O72 O55:O59 O78:O84 O65:O69" name="Despesas Custo Aquisicao"/>
    <protectedRange sqref="O3:O25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60" name="Saldo Final de Banco_1"/>
    <protectedRange sqref="O89:O95" name="Despesas Operacionais_9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60" name="Saldo Final de Banco_1_1"/>
    <protectedRange sqref="C89:H95" name="Despesas Operacionais_9_1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6:N59 I78:N84 I65:N69 I55 K55:N55" name="Despesas Custo Aquisicao_6"/>
    <protectedRange sqref="I3:N13" name="Intervalo1_3"/>
    <protectedRange sqref="I49:N50" name="Total Receitas Operacionais  Vendas_1_3"/>
    <protectedRange sqref="I53:N54 J55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60" name="Saldo Final de Banco_1_3"/>
    <protectedRange sqref="I89:N95" name="Despesas Operacionais_9_3"/>
  </protectedRanges>
  <mergeCells count="2">
    <mergeCell ref="C364:H366"/>
    <mergeCell ref="J364:O366"/>
  </mergeCells>
  <conditionalFormatting sqref="C86:H86">
    <cfRule type="cellIs" dxfId="46" priority="20" operator="lessThan">
      <formula>0</formula>
    </cfRule>
  </conditionalFormatting>
  <conditionalFormatting sqref="C237:H237 C334:H334">
    <cfRule type="cellIs" dxfId="45" priority="27" operator="greaterThan">
      <formula>0</formula>
    </cfRule>
    <cfRule type="cellIs" dxfId="44" priority="26" operator="lessThan">
      <formula>0</formula>
    </cfRule>
  </conditionalFormatting>
  <conditionalFormatting sqref="C237:H237">
    <cfRule type="cellIs" dxfId="43" priority="23" operator="greaterThan">
      <formula>0</formula>
    </cfRule>
  </conditionalFormatting>
  <conditionalFormatting sqref="C335:H335">
    <cfRule type="cellIs" dxfId="42" priority="21" operator="lessThan">
      <formula>0</formula>
    </cfRule>
    <cfRule type="aboveAverage" dxfId="41" priority="29" aboveAverage="0"/>
    <cfRule type="cellIs" dxfId="40" priority="22" operator="greaterThan">
      <formula>0.001</formula>
    </cfRule>
    <cfRule type="cellIs" dxfId="39" priority="24" operator="lessThan">
      <formula>0</formula>
    </cfRule>
    <cfRule type="cellIs" dxfId="38" priority="25" operator="greaterThan">
      <formula>0</formula>
    </cfRule>
  </conditionalFormatting>
  <conditionalFormatting sqref="I86:N86">
    <cfRule type="cellIs" dxfId="37" priority="10" operator="lessThan">
      <formula>0</formula>
    </cfRule>
  </conditionalFormatting>
  <conditionalFormatting sqref="I237:N237 I334:N334">
    <cfRule type="cellIs" dxfId="36" priority="16" operator="lessThan">
      <formula>0</formula>
    </cfRule>
    <cfRule type="cellIs" dxfId="35" priority="17" operator="greaterThan">
      <formula>0</formula>
    </cfRule>
  </conditionalFormatting>
  <conditionalFormatting sqref="I237:N237">
    <cfRule type="cellIs" dxfId="34" priority="13" operator="greaterThan">
      <formula>0</formula>
    </cfRule>
  </conditionalFormatting>
  <conditionalFormatting sqref="I335:N335">
    <cfRule type="cellIs" dxfId="33" priority="11" operator="lessThan">
      <formula>0</formula>
    </cfRule>
    <cfRule type="cellIs" dxfId="32" priority="12" operator="greaterThan">
      <formula>0.001</formula>
    </cfRule>
    <cfRule type="cellIs" dxfId="31" priority="14" operator="lessThan">
      <formula>0</formula>
    </cfRule>
    <cfRule type="cellIs" dxfId="30" priority="15" operator="greaterThan">
      <formula>0</formula>
    </cfRule>
    <cfRule type="aboveAverage" dxfId="29" priority="19" aboveAverage="0"/>
  </conditionalFormatting>
  <conditionalFormatting sqref="O86">
    <cfRule type="cellIs" dxfId="28" priority="30" operator="lessThan">
      <formula>0</formula>
    </cfRule>
  </conditionalFormatting>
  <conditionalFormatting sqref="O237 O334">
    <cfRule type="cellIs" dxfId="27" priority="38" operator="greaterThan">
      <formula>0</formula>
    </cfRule>
  </conditionalFormatting>
  <conditionalFormatting sqref="O237">
    <cfRule type="cellIs" dxfId="26" priority="33" operator="lessThan">
      <formula>0</formula>
    </cfRule>
    <cfRule type="cellIs" dxfId="25" priority="32" operator="greaterThan">
      <formula>0</formula>
    </cfRule>
  </conditionalFormatting>
  <conditionalFormatting sqref="O334">
    <cfRule type="cellIs" dxfId="24" priority="37" operator="lessThan">
      <formula>0</formula>
    </cfRule>
  </conditionalFormatting>
  <conditionalFormatting sqref="O335">
    <cfRule type="cellIs" dxfId="23" priority="36" operator="greaterThan">
      <formula>0</formula>
    </cfRule>
    <cfRule type="cellIs" dxfId="22" priority="35" operator="lessThan">
      <formula>0</formula>
    </cfRule>
    <cfRule type="cellIs" dxfId="21" priority="31" operator="greaterThan">
      <formula>0</formula>
    </cfRule>
    <cfRule type="aboveAverage" dxfId="20" priority="40" aboveAverage="0"/>
  </conditionalFormatting>
  <conditionalFormatting sqref="P86">
    <cfRule type="cellIs" dxfId="19" priority="52" operator="lessThan">
      <formula>0</formula>
    </cfRule>
  </conditionalFormatting>
  <conditionalFormatting sqref="P237 P334">
    <cfRule type="cellIs" dxfId="18" priority="60" operator="greaterThan">
      <formula>0</formula>
    </cfRule>
  </conditionalFormatting>
  <conditionalFormatting sqref="P237">
    <cfRule type="cellIs" dxfId="17" priority="54" operator="greaterThan">
      <formula>0</formula>
    </cfRule>
    <cfRule type="cellIs" dxfId="16" priority="55" operator="lessThan">
      <formula>0</formula>
    </cfRule>
  </conditionalFormatting>
  <conditionalFormatting sqref="P334">
    <cfRule type="cellIs" dxfId="15" priority="59" operator="lessThan">
      <formula>0</formula>
    </cfRule>
  </conditionalFormatting>
  <conditionalFormatting sqref="P335">
    <cfRule type="cellIs" dxfId="14" priority="57" operator="lessThan">
      <formula>0</formula>
    </cfRule>
    <cfRule type="cellIs" dxfId="13" priority="58" operator="greaterThan">
      <formula>0</formula>
    </cfRule>
    <cfRule type="aboveAverage" dxfId="12" priority="62" aboveAverage="0"/>
    <cfRule type="cellIs" dxfId="11" priority="53" operator="greaterThan">
      <formula>0</formula>
    </cfRule>
  </conditionalFormatting>
  <conditionalFormatting sqref="Q86">
    <cfRule type="cellIs" dxfId="10" priority="1" operator="lessThan">
      <formula>0</formula>
    </cfRule>
  </conditionalFormatting>
  <conditionalFormatting sqref="Q237 Q334">
    <cfRule type="cellIs" dxfId="9" priority="8" operator="greaterThan">
      <formula>0</formula>
    </cfRule>
  </conditionalFormatting>
  <conditionalFormatting sqref="Q237">
    <cfRule type="cellIs" dxfId="8" priority="4" operator="lessThan">
      <formula>0</formula>
    </cfRule>
    <cfRule type="cellIs" dxfId="7" priority="3" operator="greaterThan">
      <formula>0</formula>
    </cfRule>
  </conditionalFormatting>
  <conditionalFormatting sqref="Q334">
    <cfRule type="cellIs" dxfId="6" priority="7" operator="lessThan">
      <formula>0</formula>
    </cfRule>
  </conditionalFormatting>
  <conditionalFormatting sqref="Q335">
    <cfRule type="cellIs" dxfId="5" priority="6" operator="greaterThan">
      <formula>0</formula>
    </cfRule>
    <cfRule type="cellIs" dxfId="4" priority="5" operator="lessThan">
      <formula>0</formula>
    </cfRule>
    <cfRule type="cellIs" dxfId="3" priority="2" operator="greaterThan">
      <formula>0</formula>
    </cfRule>
    <cfRule type="aboveAverage" dxfId="2" priority="9" aboveAverage="0"/>
  </conditionalFormatting>
  <conditionalFormatting sqref="R27:R335">
    <cfRule type="iconSet" priority="63">
      <iconSet iconSet="3Arrows">
        <cfvo type="percent" val="0"/>
        <cfvo type="percent" val="$R$27&lt;=0"/>
        <cfvo type="percent" val="$R$27&gt;=0"/>
      </iconSet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" priority="65" operator="containsText" text="FALSO">
      <formula>NOT(ISERROR(SEARCH("FALSO",R27)))</formula>
    </cfRule>
    <cfRule type="containsText" dxfId="0" priority="66" operator="containsText" text="VERDADEIRO">
      <formula>NOT(ISERROR(SEARCH("VERDADEIRO",R27)))</formula>
    </cfRule>
    <cfRule type="iconSet" priority="67">
      <iconSet iconSet="3Arrows">
        <cfvo type="percent" val="0"/>
        <cfvo type="percent" val="0"/>
        <cfvo type="percent" val="0"/>
      </iconSet>
    </cfRule>
    <cfRule type="iconSet" priority="68">
      <iconSet>
        <cfvo type="percent" val="0"/>
        <cfvo type="percent" val="33"/>
        <cfvo type="percent" val="67"/>
      </iconSet>
    </cfRule>
  </conditionalFormatting>
  <pageMargins left="0.23622047244094491" right="0.23622047244094491" top="0.74803149606299213" bottom="0.74803149606299213" header="0.31496062992125984" footer="0.31496062992125984"/>
  <pageSetup paperSize="9" scale="37" fitToHeight="3" orientation="landscape" r:id="rId1"/>
  <rowBreaks count="3" manualBreakCount="3">
    <brk id="86" max="16383" man="1"/>
    <brk id="181" min="1" max="19" man="1"/>
    <brk id="237" min="1" max="19" man="1"/>
  </rowBreaks>
  <colBreaks count="1" manualBreakCount="1">
    <brk id="17" max="353" man="1"/>
  </colBreaks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>
      <selection activeCell="B1" sqref="B1"/>
    </sheetView>
  </sheetViews>
  <sheetFormatPr defaultRowHeight="15" x14ac:dyDescent="0.25"/>
  <cols>
    <col min="1" max="1" width="24.85546875" bestFit="1" customWidth="1"/>
    <col min="2" max="2" width="15.85546875" bestFit="1" customWidth="1"/>
    <col min="3" max="3" width="17.5703125" customWidth="1"/>
    <col min="4" max="4" width="17.28515625" customWidth="1"/>
    <col min="5" max="6" width="14.28515625" bestFit="1" customWidth="1"/>
    <col min="7" max="7" width="18" customWidth="1"/>
    <col min="8" max="8" width="10.42578125" customWidth="1"/>
  </cols>
  <sheetData>
    <row r="1" spans="1:8" x14ac:dyDescent="0.25">
      <c r="B1" s="290" t="s">
        <v>63</v>
      </c>
      <c r="C1" s="290" t="s">
        <v>64</v>
      </c>
      <c r="D1" s="290" t="s">
        <v>65</v>
      </c>
      <c r="E1" s="290" t="s">
        <v>79</v>
      </c>
      <c r="F1" s="290" t="s">
        <v>80</v>
      </c>
      <c r="G1" s="290" t="s">
        <v>81</v>
      </c>
    </row>
    <row r="2" spans="1:8" x14ac:dyDescent="0.25">
      <c r="A2" t="s">
        <v>77</v>
      </c>
      <c r="B2" s="246">
        <v>504.37</v>
      </c>
      <c r="C2" s="246">
        <v>1802.05</v>
      </c>
      <c r="D2" s="246">
        <v>189.68</v>
      </c>
      <c r="E2" s="246">
        <v>153</v>
      </c>
      <c r="F2" s="246"/>
      <c r="G2" s="246"/>
    </row>
    <row r="3" spans="1:8" x14ac:dyDescent="0.25">
      <c r="A3" t="s">
        <v>67</v>
      </c>
      <c r="B3" s="246"/>
      <c r="C3" s="284"/>
      <c r="D3" s="284"/>
      <c r="E3" s="284"/>
      <c r="F3" s="284"/>
      <c r="G3" s="284">
        <f>752+623</f>
        <v>1375</v>
      </c>
    </row>
    <row r="4" spans="1:8" x14ac:dyDescent="0.25">
      <c r="A4" t="s">
        <v>68</v>
      </c>
      <c r="B4" s="246"/>
      <c r="C4" s="284"/>
      <c r="D4" s="284"/>
      <c r="E4" s="284"/>
      <c r="F4" s="284"/>
      <c r="G4" s="284"/>
    </row>
    <row r="5" spans="1:8" x14ac:dyDescent="0.25">
      <c r="A5" t="s">
        <v>78</v>
      </c>
      <c r="B5" s="246">
        <v>-54.52</v>
      </c>
      <c r="C5" s="284">
        <v>-451.56</v>
      </c>
      <c r="D5" s="284">
        <v>-570</v>
      </c>
      <c r="E5" s="284">
        <v>0</v>
      </c>
      <c r="F5" s="284">
        <v>0</v>
      </c>
      <c r="G5" s="284">
        <v>0</v>
      </c>
    </row>
    <row r="6" spans="1:8" x14ac:dyDescent="0.25">
      <c r="A6" t="s">
        <v>69</v>
      </c>
      <c r="B6" s="246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</row>
    <row r="7" spans="1:8" x14ac:dyDescent="0.25">
      <c r="A7" t="s">
        <v>70</v>
      </c>
      <c r="B7" s="246">
        <v>3322.81</v>
      </c>
      <c r="C7" s="284">
        <v>534.30999999999995</v>
      </c>
      <c r="D7" s="284">
        <v>0</v>
      </c>
      <c r="E7" s="284">
        <v>0</v>
      </c>
      <c r="F7" s="284">
        <v>0</v>
      </c>
      <c r="G7" s="284">
        <v>1745.94</v>
      </c>
    </row>
    <row r="8" spans="1:8" x14ac:dyDescent="0.25">
      <c r="A8" t="s">
        <v>71</v>
      </c>
      <c r="B8" s="246">
        <v>9514.19</v>
      </c>
      <c r="C8" s="246">
        <v>11792.42</v>
      </c>
      <c r="D8" s="246">
        <v>11956.42</v>
      </c>
      <c r="E8" s="246">
        <v>10013.11</v>
      </c>
      <c r="F8" s="246">
        <v>9045.4500000000007</v>
      </c>
      <c r="G8" s="246">
        <v>9210.74</v>
      </c>
      <c r="H8" s="246"/>
    </row>
    <row r="9" spans="1:8" x14ac:dyDescent="0.25">
      <c r="A9" t="s">
        <v>72</v>
      </c>
      <c r="B9" s="246">
        <v>3037.17</v>
      </c>
      <c r="C9" s="246">
        <v>4380.3</v>
      </c>
      <c r="D9" s="246">
        <v>1607.17</v>
      </c>
      <c r="E9" s="246">
        <v>3001.5</v>
      </c>
      <c r="F9" s="246">
        <v>144.34</v>
      </c>
      <c r="G9" s="246">
        <v>5106.6099999999997</v>
      </c>
      <c r="H9" s="246"/>
    </row>
    <row r="10" spans="1:8" x14ac:dyDescent="0.25">
      <c r="A10" t="s">
        <v>73</v>
      </c>
      <c r="B10" s="246">
        <v>1042.03</v>
      </c>
      <c r="C10" s="246">
        <v>-1286.51</v>
      </c>
      <c r="D10" s="246">
        <v>-75</v>
      </c>
      <c r="E10" s="246">
        <f>462.88-855</f>
        <v>-392.12</v>
      </c>
      <c r="F10" s="246">
        <v>0</v>
      </c>
      <c r="G10" s="246">
        <v>0</v>
      </c>
      <c r="H10" s="246"/>
    </row>
    <row r="11" spans="1:8" x14ac:dyDescent="0.25">
      <c r="A11" t="s">
        <v>74</v>
      </c>
      <c r="B11" s="246">
        <v>180655.01</v>
      </c>
      <c r="C11" s="246">
        <v>170492.79</v>
      </c>
      <c r="D11" s="246">
        <v>223671.43</v>
      </c>
      <c r="E11" s="246">
        <v>221949.99</v>
      </c>
      <c r="F11" s="246">
        <v>179083.95</v>
      </c>
      <c r="G11" s="246">
        <v>165573.53</v>
      </c>
    </row>
    <row r="12" spans="1:8" x14ac:dyDescent="0.25">
      <c r="A12" t="s">
        <v>75</v>
      </c>
      <c r="B12" s="246"/>
      <c r="C12" s="246">
        <v>0</v>
      </c>
      <c r="D12" s="246"/>
      <c r="E12" s="246"/>
      <c r="F12" s="246"/>
      <c r="G12" s="246"/>
      <c r="H12" s="287"/>
    </row>
    <row r="13" spans="1:8" x14ac:dyDescent="0.25">
      <c r="A13" t="s">
        <v>76</v>
      </c>
      <c r="B13" s="246">
        <v>-32433.1</v>
      </c>
      <c r="C13" s="246">
        <v>-32201.45</v>
      </c>
      <c r="D13" s="246">
        <v>-39707.35</v>
      </c>
      <c r="E13" s="246">
        <v>-39650.949999999997</v>
      </c>
      <c r="F13" s="246">
        <v>-36550.35</v>
      </c>
      <c r="G13" s="246">
        <v>-35303.379999999997</v>
      </c>
    </row>
    <row r="14" spans="1:8" x14ac:dyDescent="0.25">
      <c r="B14" s="246">
        <f t="shared" ref="B14:G14" si="0">SUM(B2:B13)</f>
        <v>165587.96</v>
      </c>
      <c r="C14" s="246">
        <f t="shared" si="0"/>
        <v>155062.35</v>
      </c>
      <c r="D14" s="246">
        <f t="shared" si="0"/>
        <v>197072.34999999998</v>
      </c>
      <c r="E14" s="246">
        <f t="shared" si="0"/>
        <v>195074.52999999997</v>
      </c>
      <c r="F14" s="246">
        <f t="shared" si="0"/>
        <v>151723.39000000001</v>
      </c>
      <c r="G14" s="246">
        <f t="shared" si="0"/>
        <v>147708.44</v>
      </c>
    </row>
    <row r="15" spans="1:8" x14ac:dyDescent="0.25">
      <c r="B15" s="246"/>
      <c r="C15" s="246"/>
      <c r="D15" s="246"/>
      <c r="E15" s="246"/>
      <c r="F15" s="246"/>
      <c r="G15" s="246"/>
    </row>
    <row r="16" spans="1:8" x14ac:dyDescent="0.25">
      <c r="B16" s="246">
        <f t="shared" ref="B16:G16" si="1">SUM(B2:B12)</f>
        <v>198021.06</v>
      </c>
      <c r="C16" s="246">
        <f t="shared" si="1"/>
        <v>187263.80000000002</v>
      </c>
      <c r="D16" s="246">
        <f t="shared" si="1"/>
        <v>236779.69999999998</v>
      </c>
      <c r="E16" s="246">
        <f t="shared" si="1"/>
        <v>234725.47999999998</v>
      </c>
      <c r="F16" s="246">
        <f t="shared" si="1"/>
        <v>188273.74000000002</v>
      </c>
      <c r="G16" s="246">
        <f t="shared" si="1"/>
        <v>183011.82</v>
      </c>
    </row>
    <row r="17" spans="2:6" x14ac:dyDescent="0.25">
      <c r="B17" s="246"/>
    </row>
    <row r="18" spans="2:6" x14ac:dyDescent="0.25">
      <c r="B18" s="246"/>
    </row>
    <row r="19" spans="2:6" x14ac:dyDescent="0.25">
      <c r="B19" s="246"/>
      <c r="F19" s="287"/>
    </row>
  </sheetData>
  <autoFilter ref="B1:G14" xr:uid="{00000000-0001-0000-0800-000000000000}"/>
  <phoneticPr fontId="23" type="noConversion"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9"/>
  <dimension ref="B1:Q56"/>
  <sheetViews>
    <sheetView topLeftCell="A54" zoomScale="90" zoomScaleNormal="90" workbookViewId="0">
      <selection activeCell="L69" sqref="L69"/>
    </sheetView>
  </sheetViews>
  <sheetFormatPr defaultRowHeight="23.25" x14ac:dyDescent="0.35"/>
  <cols>
    <col min="2" max="2" width="20.7109375" bestFit="1" customWidth="1"/>
    <col min="3" max="3" width="3.28515625" bestFit="1" customWidth="1"/>
    <col min="12" max="12" width="50.7109375" bestFit="1" customWidth="1"/>
    <col min="14" max="14" width="14" bestFit="1" customWidth="1"/>
    <col min="15" max="15" width="13.28515625" style="246" bestFit="1" customWidth="1"/>
    <col min="16" max="16" width="10.7109375" bestFit="1" customWidth="1"/>
    <col min="17" max="17" width="23.5703125" style="286" bestFit="1" customWidth="1"/>
  </cols>
  <sheetData>
    <row r="1" spans="2:17" x14ac:dyDescent="0.35">
      <c r="B1" t="s">
        <v>25</v>
      </c>
      <c r="C1" t="s">
        <v>26</v>
      </c>
    </row>
    <row r="2" spans="2:17" x14ac:dyDescent="0.35">
      <c r="B2" s="7" t="s">
        <v>27</v>
      </c>
      <c r="C2">
        <v>1</v>
      </c>
    </row>
    <row r="3" spans="2:17" x14ac:dyDescent="0.35">
      <c r="B3" s="7" t="s">
        <v>28</v>
      </c>
      <c r="C3">
        <v>2</v>
      </c>
      <c r="L3" s="246">
        <v>4435.6000000000004</v>
      </c>
      <c r="P3" s="405">
        <v>44291</v>
      </c>
      <c r="Q3" s="286">
        <v>18605.27</v>
      </c>
    </row>
    <row r="4" spans="2:17" x14ac:dyDescent="0.35">
      <c r="B4" s="7" t="s">
        <v>29</v>
      </c>
      <c r="C4">
        <v>3</v>
      </c>
      <c r="L4" s="246">
        <v>-140.4</v>
      </c>
      <c r="P4" s="405">
        <v>44292</v>
      </c>
      <c r="Q4" s="286">
        <v>20595.64</v>
      </c>
    </row>
    <row r="5" spans="2:17" x14ac:dyDescent="0.35">
      <c r="B5" s="7"/>
      <c r="L5" s="287">
        <v>-140.4</v>
      </c>
      <c r="P5" s="405">
        <v>44293</v>
      </c>
      <c r="Q5" s="286">
        <v>28971.81</v>
      </c>
    </row>
    <row r="6" spans="2:17" x14ac:dyDescent="0.35">
      <c r="B6" s="7" t="s">
        <v>30</v>
      </c>
      <c r="C6">
        <v>4</v>
      </c>
      <c r="L6" s="287">
        <v>-419.1</v>
      </c>
      <c r="P6" s="405">
        <v>44294</v>
      </c>
      <c r="Q6" s="286">
        <v>30167.32</v>
      </c>
    </row>
    <row r="7" spans="2:17" x14ac:dyDescent="0.35">
      <c r="B7" s="7" t="s">
        <v>31</v>
      </c>
      <c r="C7">
        <v>5</v>
      </c>
      <c r="L7" s="287">
        <v>-691.3</v>
      </c>
      <c r="P7" s="405">
        <v>44295</v>
      </c>
      <c r="Q7" s="286">
        <v>26657.46</v>
      </c>
    </row>
    <row r="8" spans="2:17" x14ac:dyDescent="0.35">
      <c r="B8" s="7" t="s">
        <v>32</v>
      </c>
      <c r="C8">
        <v>6</v>
      </c>
      <c r="L8" s="287">
        <f>SUM(L3:L7)</f>
        <v>3044.4000000000015</v>
      </c>
      <c r="P8" s="405">
        <v>44298</v>
      </c>
      <c r="Q8" s="286">
        <v>26384.75</v>
      </c>
    </row>
    <row r="9" spans="2:17" x14ac:dyDescent="0.35">
      <c r="L9" s="287">
        <v>3043.92</v>
      </c>
      <c r="P9" s="405">
        <v>44299</v>
      </c>
      <c r="Q9" s="286">
        <v>28299.94</v>
      </c>
    </row>
    <row r="10" spans="2:17" x14ac:dyDescent="0.35">
      <c r="L10" s="287">
        <f>L9-L8</f>
        <v>-0.48000000000138243</v>
      </c>
      <c r="P10" s="405">
        <v>44300</v>
      </c>
      <c r="Q10" s="286">
        <v>28725.25</v>
      </c>
    </row>
    <row r="11" spans="2:17" x14ac:dyDescent="0.35">
      <c r="P11" s="405">
        <v>44301</v>
      </c>
      <c r="Q11" s="286">
        <v>23448.61</v>
      </c>
    </row>
    <row r="12" spans="2:17" x14ac:dyDescent="0.35">
      <c r="P12" s="405">
        <v>44302</v>
      </c>
      <c r="Q12" s="286">
        <v>24417.42</v>
      </c>
    </row>
    <row r="13" spans="2:17" x14ac:dyDescent="0.35">
      <c r="P13" s="405">
        <v>44303</v>
      </c>
      <c r="Q13" s="286">
        <v>26017.29</v>
      </c>
    </row>
    <row r="14" spans="2:17" x14ac:dyDescent="0.35">
      <c r="P14" s="405">
        <v>44304</v>
      </c>
      <c r="Q14" s="286">
        <v>29929.07</v>
      </c>
    </row>
    <row r="15" spans="2:17" x14ac:dyDescent="0.35">
      <c r="L15">
        <v>16.989999999999998</v>
      </c>
      <c r="P15" s="405">
        <v>44305</v>
      </c>
    </row>
    <row r="16" spans="2:17" x14ac:dyDescent="0.35">
      <c r="L16">
        <v>1.22</v>
      </c>
      <c r="P16" s="405">
        <v>44306</v>
      </c>
    </row>
    <row r="17" spans="12:17" x14ac:dyDescent="0.35">
      <c r="L17">
        <f>L16+L15</f>
        <v>18.209999999999997</v>
      </c>
      <c r="P17" s="405">
        <v>44307</v>
      </c>
    </row>
    <row r="18" spans="12:17" x14ac:dyDescent="0.35">
      <c r="L18">
        <f>L17*28.5%</f>
        <v>5.189849999999999</v>
      </c>
      <c r="P18" s="405">
        <v>44308</v>
      </c>
    </row>
    <row r="19" spans="12:17" x14ac:dyDescent="0.35">
      <c r="N19">
        <f>206.4+206.4+691.3+486.6</f>
        <v>1590.6999999999998</v>
      </c>
      <c r="P19" s="405">
        <v>44309</v>
      </c>
    </row>
    <row r="20" spans="12:17" x14ac:dyDescent="0.35">
      <c r="L20">
        <f>16.99*4.8%</f>
        <v>0.81551999999999991</v>
      </c>
      <c r="P20" s="405">
        <v>44310</v>
      </c>
    </row>
    <row r="21" spans="12:17" x14ac:dyDescent="0.35">
      <c r="P21" s="405">
        <v>44311</v>
      </c>
    </row>
    <row r="22" spans="12:17" x14ac:dyDescent="0.35">
      <c r="P22" s="405">
        <v>44312</v>
      </c>
    </row>
    <row r="23" spans="12:17" x14ac:dyDescent="0.35">
      <c r="L23">
        <v>2</v>
      </c>
      <c r="P23" s="405">
        <v>44313</v>
      </c>
    </row>
    <row r="24" spans="12:17" x14ac:dyDescent="0.35">
      <c r="L24">
        <v>3</v>
      </c>
      <c r="P24" s="405">
        <v>44314</v>
      </c>
    </row>
    <row r="25" spans="12:17" x14ac:dyDescent="0.35">
      <c r="L25">
        <v>1.08</v>
      </c>
      <c r="P25" s="405">
        <v>44315</v>
      </c>
    </row>
    <row r="26" spans="12:17" x14ac:dyDescent="0.35">
      <c r="L26">
        <f>L25+L24+L23</f>
        <v>6.08</v>
      </c>
      <c r="P26" s="405">
        <v>44316</v>
      </c>
    </row>
    <row r="27" spans="12:17" x14ac:dyDescent="0.35">
      <c r="P27" s="405"/>
      <c r="Q27" s="286">
        <f>SUM(Q3:Q26)</f>
        <v>312219.82999999996</v>
      </c>
    </row>
    <row r="28" spans="12:17" x14ac:dyDescent="0.35">
      <c r="P28" s="405"/>
    </row>
    <row r="29" spans="12:17" x14ac:dyDescent="0.35">
      <c r="P29" s="405"/>
    </row>
    <row r="30" spans="12:17" x14ac:dyDescent="0.35">
      <c r="P30" s="405"/>
    </row>
    <row r="31" spans="12:17" x14ac:dyDescent="0.35">
      <c r="P31" s="405"/>
    </row>
    <row r="32" spans="12:17" x14ac:dyDescent="0.35">
      <c r="P32" s="405"/>
    </row>
    <row r="37" spans="12:16" x14ac:dyDescent="0.35">
      <c r="N37" t="s">
        <v>231</v>
      </c>
      <c r="O37" s="246">
        <v>28080.11</v>
      </c>
    </row>
    <row r="38" spans="12:16" x14ac:dyDescent="0.35">
      <c r="N38" t="s">
        <v>232</v>
      </c>
      <c r="O38" s="246">
        <v>0</v>
      </c>
    </row>
    <row r="39" spans="12:16" x14ac:dyDescent="0.35">
      <c r="L39" s="287">
        <f>O37+O39</f>
        <v>28922.513299999999</v>
      </c>
      <c r="M39" s="472" t="s">
        <v>233</v>
      </c>
      <c r="N39" t="s">
        <v>234</v>
      </c>
      <c r="O39" s="246">
        <f>O37*P39</f>
        <v>842.40329999999994</v>
      </c>
      <c r="P39" s="9">
        <v>0.03</v>
      </c>
    </row>
    <row r="40" spans="12:16" x14ac:dyDescent="0.35">
      <c r="L40" s="287">
        <f>L39+O40</f>
        <v>29790.188698999998</v>
      </c>
      <c r="M40" s="472" t="s">
        <v>233</v>
      </c>
      <c r="N40" t="s">
        <v>235</v>
      </c>
      <c r="O40" s="246">
        <f>P40*L39</f>
        <v>867.67539899999997</v>
      </c>
      <c r="P40" s="9">
        <v>0.03</v>
      </c>
    </row>
    <row r="41" spans="12:16" x14ac:dyDescent="0.35">
      <c r="L41" s="287">
        <f>L40+O41</f>
        <v>30683.89435997</v>
      </c>
      <c r="M41" s="472" t="s">
        <v>233</v>
      </c>
      <c r="N41" t="s">
        <v>236</v>
      </c>
      <c r="O41" s="246">
        <f>P41*L40</f>
        <v>893.70566096999994</v>
      </c>
      <c r="P41" s="9">
        <v>0.03</v>
      </c>
    </row>
    <row r="42" spans="12:16" x14ac:dyDescent="0.35">
      <c r="L42" s="287">
        <f>L41+O42</f>
        <v>31604.4111907691</v>
      </c>
      <c r="M42" s="472" t="s">
        <v>233</v>
      </c>
      <c r="N42" t="s">
        <v>237</v>
      </c>
      <c r="O42" s="246">
        <f>P42*L41</f>
        <v>920.51683079909992</v>
      </c>
      <c r="P42" s="9">
        <v>0.03</v>
      </c>
    </row>
    <row r="43" spans="12:16" x14ac:dyDescent="0.35">
      <c r="L43" s="287">
        <f>L42+O43</f>
        <v>32552.543526492173</v>
      </c>
      <c r="M43" s="472" t="s">
        <v>233</v>
      </c>
      <c r="N43" t="s">
        <v>238</v>
      </c>
      <c r="O43" s="246">
        <f>P43*L42</f>
        <v>948.13233572307297</v>
      </c>
      <c r="P43" s="9">
        <v>0.03</v>
      </c>
    </row>
    <row r="44" spans="12:16" x14ac:dyDescent="0.35">
      <c r="O44" s="246">
        <f>SUM(O39:O43)</f>
        <v>4472.4335264921729</v>
      </c>
    </row>
    <row r="45" spans="12:16" x14ac:dyDescent="0.35">
      <c r="O45" s="246">
        <f>O44+O37</f>
        <v>32552.543526492173</v>
      </c>
    </row>
    <row r="53" spans="11:12" x14ac:dyDescent="0.35">
      <c r="L53">
        <f>736.98+464.91</f>
        <v>1201.8900000000001</v>
      </c>
    </row>
    <row r="55" spans="11:12" x14ac:dyDescent="0.35">
      <c r="K55" s="472"/>
    </row>
    <row r="56" spans="11:12" x14ac:dyDescent="0.35">
      <c r="K56" s="472"/>
    </row>
  </sheetData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18</vt:i4>
      </vt:variant>
    </vt:vector>
  </HeadingPairs>
  <TitlesOfParts>
    <vt:vector size="38" baseType="lpstr">
      <vt:lpstr>JANEIRO</vt:lpstr>
      <vt:lpstr>FEVEREIRO</vt:lpstr>
      <vt:lpstr>MARÇO</vt:lpstr>
      <vt:lpstr>1 Tri 2026</vt:lpstr>
      <vt:lpstr>ABRIL</vt:lpstr>
      <vt:lpstr>MAIO</vt:lpstr>
      <vt:lpstr>JUNHO</vt:lpstr>
      <vt:lpstr>2 Tri 2026</vt:lpstr>
      <vt:lpstr>1 Sem 2026</vt:lpstr>
      <vt:lpstr>JULHO</vt:lpstr>
      <vt:lpstr>AGOSTO</vt:lpstr>
      <vt:lpstr>SETEMBRO</vt:lpstr>
      <vt:lpstr>3 Tri 2026</vt:lpstr>
      <vt:lpstr>OUTUBRO</vt:lpstr>
      <vt:lpstr>NOVEMBRO</vt:lpstr>
      <vt:lpstr>DEZEMBRO</vt:lpstr>
      <vt:lpstr>2 Sem 2026</vt:lpstr>
      <vt:lpstr>Anual 2026</vt:lpstr>
      <vt:lpstr>Checar Cofre</vt:lpstr>
      <vt:lpstr>Plan8</vt:lpstr>
      <vt:lpstr>'1 Sem 2026'!Area_de_impressao</vt:lpstr>
      <vt:lpstr>'1 Tri 2026'!Area_de_impressao</vt:lpstr>
      <vt:lpstr>'2 Sem 2026'!Area_de_impressao</vt:lpstr>
      <vt:lpstr>'2 Tri 2026'!Area_de_impressao</vt:lpstr>
      <vt:lpstr>'3 Tri 2026'!Area_de_impressao</vt:lpstr>
      <vt:lpstr>ABRIL!Area_de_impressao</vt:lpstr>
      <vt:lpstr>AGOSTO!Area_de_impressao</vt:lpstr>
      <vt:lpstr>'Anual 2026'!Area_de_impressao</vt:lpstr>
      <vt:lpstr>DEZEMBRO!Area_de_impressao</vt:lpstr>
      <vt:lpstr>FEVEREIRO!Area_de_impressao</vt:lpstr>
      <vt:lpstr>JANEIRO!Area_de_impressao</vt:lpstr>
      <vt:lpstr>JULHO!Area_de_impressao</vt:lpstr>
      <vt:lpstr>JUNHO!Area_de_impressao</vt:lpstr>
      <vt:lpstr>MAIO!Area_de_impressao</vt:lpstr>
      <vt:lpstr>MARÇO!Area_de_impressao</vt:lpstr>
      <vt:lpstr>NOVEMBRO!Area_de_impressao</vt:lpstr>
      <vt:lpstr>OUTUBRO!Area_de_impressao</vt:lpstr>
      <vt:lpstr>SETEMBRO!Area_de_impressao</vt:lpstr>
    </vt:vector>
  </TitlesOfParts>
  <Company>sisban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ergildo</dc:creator>
  <cp:lastModifiedBy>Alessandro da Silva Lemes</cp:lastModifiedBy>
  <cp:lastPrinted>2026-06-20T13:51:49Z</cp:lastPrinted>
  <dcterms:created xsi:type="dcterms:W3CDTF">2010-01-07T13:49:39Z</dcterms:created>
  <dcterms:modified xsi:type="dcterms:W3CDTF">2026-06-20T19:17:09Z</dcterms:modified>
</cp:coreProperties>
</file>