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tab01b_csiro_au/Documents/Documents/Coronavirus/DISER-COVID/References/Diamond Princess/"/>
    </mc:Choice>
  </mc:AlternateContent>
  <xr:revisionPtr revIDLastSave="604" documentId="8_{EFFD7D76-7FB0-4C3F-B322-FF019E2C659C}" xr6:coauthVersionLast="47" xr6:coauthVersionMax="47" xr10:uidLastSave="{8D55153F-5291-4E48-AE98-1D22125738EF}"/>
  <bookViews>
    <workbookView xWindow="340" yWindow="3270" windowWidth="24910" windowHeight="16450" xr2:uid="{95AE468B-8077-4EE1-AFA0-79181E9FF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Q34" i="1"/>
  <c r="P34" i="1"/>
  <c r="O34" i="1"/>
  <c r="A53" i="1"/>
  <c r="S32" i="1"/>
  <c r="T32" i="1"/>
  <c r="P32" i="1"/>
  <c r="Q32" i="1"/>
  <c r="J11" i="1"/>
  <c r="J13" i="1" s="1"/>
  <c r="J14" i="1" s="1"/>
  <c r="J15" i="1" s="1"/>
  <c r="J16" i="1" s="1"/>
  <c r="J17" i="1" s="1"/>
  <c r="J18" i="1" s="1"/>
  <c r="F15" i="1"/>
  <c r="F10" i="1"/>
  <c r="F3" i="1"/>
  <c r="G3" i="1" s="1"/>
  <c r="F4" i="1"/>
  <c r="F5" i="1"/>
  <c r="F6" i="1"/>
  <c r="F7" i="1"/>
  <c r="F8" i="1"/>
  <c r="F11" i="1"/>
  <c r="F13" i="1"/>
  <c r="F14" i="1"/>
  <c r="F16" i="1"/>
  <c r="F17" i="1"/>
  <c r="F18" i="1"/>
  <c r="H24" i="1"/>
  <c r="L18" i="1"/>
  <c r="L17" i="1"/>
  <c r="L16" i="1"/>
  <c r="L15" i="1"/>
  <c r="L14" i="1"/>
  <c r="L13" i="1"/>
  <c r="L11" i="1"/>
  <c r="L10" i="1"/>
  <c r="L8" i="1"/>
  <c r="L7" i="1"/>
  <c r="L6" i="1"/>
  <c r="L5" i="1"/>
  <c r="L3" i="1"/>
  <c r="N3" i="1" s="1"/>
  <c r="L4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C24" i="1"/>
  <c r="F24" i="1" s="1"/>
  <c r="C21" i="1"/>
  <c r="D21" i="1" s="1"/>
  <c r="K24" i="1"/>
  <c r="L24" i="1" s="1"/>
  <c r="H21" i="1"/>
  <c r="K21" i="1"/>
  <c r="L21" i="1" s="1"/>
  <c r="I24" i="1"/>
  <c r="A52" i="1" s="1"/>
  <c r="I18" i="1"/>
  <c r="I17" i="1"/>
  <c r="I16" i="1"/>
  <c r="B33" i="1" s="1"/>
  <c r="I15" i="1"/>
  <c r="E21" i="1" l="1"/>
  <c r="E22" i="1" s="1"/>
  <c r="E23" i="1" s="1"/>
  <c r="E2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J21" i="1"/>
  <c r="J24" i="1" s="1"/>
  <c r="I21" i="1"/>
  <c r="F21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D24" i="1"/>
  <c r="G14" i="1" l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B39" i="1"/>
  <c r="B41" i="1" s="1"/>
  <c r="M21" i="1"/>
  <c r="M22" i="1"/>
  <c r="B32" i="1" l="1"/>
  <c r="B34" i="1" s="1"/>
  <c r="M23" i="1"/>
</calcChain>
</file>

<file path=xl/sharedStrings.xml><?xml version="1.0" encoding="utf-8"?>
<sst xmlns="http://schemas.openxmlformats.org/spreadsheetml/2006/main" count="145" uniqueCount="124">
  <si>
    <t>report_date</t>
  </si>
  <si>
    <t>cases</t>
  </si>
  <si>
    <t>total</t>
  </si>
  <si>
    <t>check</t>
  </si>
  <si>
    <t>day_quarantine_Bazant</t>
  </si>
  <si>
    <t>https://en.wikipedia.org/wiki/COVID-19_pandemic_on_Diamond_Princess</t>
  </si>
  <si>
    <t>https://www.mhlw.go.jp/stf/newpage_09276.html</t>
  </si>
  <si>
    <t>total tests*</t>
  </si>
  <si>
    <t>*tests from Wikipedia article and don't correspond to counts</t>
  </si>
  <si>
    <t>My counts disagree with Wikipedia article slightly, although the same number appear, e.g.</t>
  </si>
  <si>
    <t>10,20,61,64,70,135,174,218,(285 missing from mine),355,454,542,621,634,705</t>
  </si>
  <si>
    <t>https://www.mhlw.go.jp/stf/newpage_09340.html</t>
  </si>
  <si>
    <t>NA</t>
  </si>
  <si>
    <t>https://www.mhlw.go.jp/stf/newpage_09398.html</t>
  </si>
  <si>
    <t>https://www.mhlw.go.jp/stf/newpage_09405.html</t>
  </si>
  <si>
    <t>Using Google Translate</t>
  </si>
  <si>
    <t>Calculated from reports (Wikipedia)</t>
  </si>
  <si>
    <t>https://www.mhlw.go.jp/stf/newpage_09419.html</t>
  </si>
  <si>
    <t>Tests calculated from reports (Wikipedia)</t>
  </si>
  <si>
    <t>"In the future, we will transport them to medical institutions with infectious disease wards"</t>
  </si>
  <si>
    <t>https://www.mhlw.go.jp/stf/newpage_09425.html</t>
  </si>
  <si>
    <t>https://www.mhlw.go.jp/stf/newpage_09542.html</t>
  </si>
  <si>
    <t>asymp tot</t>
  </si>
  <si>
    <t>https://www.mhlw.go.jp/stf/houdou/houdou_list_202002.html</t>
  </si>
  <si>
    <t>"fourth report"</t>
  </si>
  <si>
    <t>"5th report"</t>
  </si>
  <si>
    <t>"6th report"</t>
  </si>
  <si>
    <t>"8th report"</t>
  </si>
  <si>
    <t>"9th report"</t>
  </si>
  <si>
    <t>https://www.mhlw.go.jp/stf/newpage_09547.html</t>
  </si>
  <si>
    <t>"10th report"</t>
  </si>
  <si>
    <t>asymp check</t>
  </si>
  <si>
    <t>https://www.mhlw.go.jp/stf/newpage_09568.html</t>
  </si>
  <si>
    <t>"11th report"</t>
  </si>
  <si>
    <t>asymptomatic</t>
  </si>
  <si>
    <t>Excludes 8 patients found after disembarkation</t>
  </si>
  <si>
    <t>Bazant fits to here or day before</t>
  </si>
  <si>
    <t>Bazant fits to here or day after</t>
  </si>
  <si>
    <t>https://www.mhlw.go.jp/stf/newpage_09606.html</t>
  </si>
  <si>
    <t>"12th report"</t>
  </si>
  <si>
    <t>https://www.mhlw.go.jp/stf/newpage_09577.html</t>
  </si>
  <si>
    <t>Says</t>
  </si>
  <si>
    <t>"all passengers will be asked to stay in their rooms from the morning of February 5 to prevent the spread of infection. "</t>
  </si>
  <si>
    <t>"From...start...until February 19... the 14th day [if] no symptom...and the virus test..."negative". ...period…is 14 days "</t>
  </si>
  <si>
    <t>https://www.mhlw.go.jp/stf/newpage_09640.html</t>
  </si>
  <si>
    <t>"13th report"</t>
  </si>
  <si>
    <t>&lt;excl. 8&gt; Note: disembarkation notice</t>
  </si>
  <si>
    <t xml:space="preserve">&lt;excl. 8&gt; </t>
  </si>
  <si>
    <t>"The cruise ship is still under quarantine" https://www-mhlw-go-jp.translate.goog/stf/newpage_09611.html?_x_tr_sl=auto&amp;_x_tr_tl=en&amp;_x_tr_hl=en&amp;_x_tr_pto=wapp</t>
  </si>
  <si>
    <t>https://www.mhlw.go.jp/stf/newpage_09668.html</t>
  </si>
  <si>
    <t>"14th report"</t>
  </si>
  <si>
    <t>"The cruise ship is still under quarantine" https://www-mhlw-go-jp.translate.goog/stf/newpage_09669.html?_x_tr_sl=auto&amp;_x_tr_tl=en&amp;_x_tr_hl=en&amp;_x_tr_pto=wapp</t>
  </si>
  <si>
    <t>https://www.mhlw.go.jp/stf/newpage_09705.html</t>
  </si>
  <si>
    <t>"For this reason, today, 89 people (including 70 Japanese) disembarked from the cruise ship "Diamond Princess"</t>
  </si>
  <si>
    <t>https://www.mhlw.go.jp/stf/newpage_09783.html</t>
  </si>
  <si>
    <t>https://www.mhlw.go.jp/stf/newpage_09708.html</t>
  </si>
  <si>
    <t>total check</t>
  </si>
  <si>
    <t>94 crew + 73 pax tested, 9 + 5 positive, 7 + 5 asymp</t>
  </si>
  <si>
    <t>819 crew + 12 pax tested, 55 + 2 positive, 50 + 2 asymp</t>
  </si>
  <si>
    <t>tests -inferred</t>
  </si>
  <si>
    <t>tests reported</t>
  </si>
  <si>
    <t>Gives individual day tests</t>
  </si>
  <si>
    <t>https://www.mhlw.go.jp/stf/newpage_09424.html</t>
  </si>
  <si>
    <t>Missing 7th report+1 quarantine officer</t>
  </si>
  <si>
    <t>cases ex extras</t>
  </si>
  <si>
    <t>total ex extras</t>
  </si>
  <si>
    <t>https://www.mhlw.go.jp/stf/newpage_09997.html</t>
  </si>
  <si>
    <t>All disembarked on 1 March</t>
  </si>
  <si>
    <t>3618 of 3711 passengers tested with PCR</t>
  </si>
  <si>
    <t>Can't read some information</t>
  </si>
  <si>
    <t>prior to 15/2/2020</t>
  </si>
  <si>
    <t>Note: 1 quarantine officer detected infceted on ship and 8 pax after departing</t>
  </si>
  <si>
    <t>Final summary table in Japanese seems to show:</t>
  </si>
  <si>
    <t>Total crew+pax, people tested, total positive, pax symptomatic &amp; asymp, crew sympt &amp; asympt.</t>
  </si>
  <si>
    <t>tested</t>
  </si>
  <si>
    <t>positive</t>
  </si>
  <si>
    <t>pax asymp.</t>
  </si>
  <si>
    <t>crew asympt.</t>
  </si>
  <si>
    <t>At risk 3/2/2020</t>
  </si>
  <si>
    <t>pax positive</t>
  </si>
  <si>
    <t>crew positive</t>
  </si>
  <si>
    <t>*Note: Asymptomatic are only documented in Jap MOH reports from 15/2 after 285 total cases</t>
  </si>
  <si>
    <t>tests</t>
  </si>
  <si>
    <t>asymp %</t>
  </si>
  <si>
    <t>14/2-26/2</t>
  </si>
  <si>
    <t>3/2-14/2</t>
  </si>
  <si>
    <t>Tests prior to 14/2 tartgeted symptomatic people</t>
  </si>
  <si>
    <t>Only 17.8% of tests done by 14/2</t>
  </si>
  <si>
    <t>Officially pax confined to rooms, only announced 18/2 https://www.mhlw.go.jp/stf/newpage_09577.html</t>
  </si>
  <si>
    <t>https://www.mhlw.go.jp/stf/newpage_09465.html</t>
  </si>
  <si>
    <t>Also from 13/2 https://www.mhlw.go.jp/stf/newpage_09465.html</t>
  </si>
  <si>
    <t xml:space="preserve">Officially pax confined to rooms, only announced 13/2 </t>
  </si>
  <si>
    <t>"All passengers are asked to stay in their own private rooms, and those with respiratory symptoms...will be tested for the new coronavirus, and if positive, disembark."..</t>
  </si>
  <si>
    <t>"...those…confirmed...positive...will be treated at a medical institution. In addition, those who have been in close contact...not subject to this response. "</t>
  </si>
  <si>
    <t>Note: special exceptions for vulnerable elderly who can disembark and be quaratined onshore.</t>
  </si>
  <si>
    <t>Some conclusions:</t>
  </si>
  <si>
    <t>"confined to cabins" officially started morning of 5/2 (equivalent to PCR tests of 6/2).</t>
  </si>
  <si>
    <t>By 10-11/2 only 439 tests suggesting only people with symptoms tested.</t>
  </si>
  <si>
    <t>"confined to cabins" only announced 13/2. It's possible not weel enforced prior to this.</t>
  </si>
  <si>
    <t>US citizens evacuated</t>
  </si>
  <si>
    <t>Now gives asymptomatic</t>
  </si>
  <si>
    <t>Princess Cruises updates</t>
  </si>
  <si>
    <t>https://www.princess.com/news/notices_and_advisories/notices/diamond-princess-update.html</t>
  </si>
  <si>
    <t>February 6, 2020 at 7:30 PM PT</t>
  </si>
  <si>
    <t>"Outdoor time for guests in interior staterooms (under the guidance of Japanese Ministry of Health)"</t>
  </si>
  <si>
    <t>About 2:30 pm Feb 7,  AEDT</t>
  </si>
  <si>
    <t>Possible "confined to cabins" started on 7/2</t>
  </si>
  <si>
    <t>Add incubation period, mediam ~ 5 days at this stage - 11/2</t>
  </si>
  <si>
    <t>Already 135 cases by 11/2 (actually 173 by 12/2)</t>
  </si>
  <si>
    <t>symptomatic</t>
  </si>
  <si>
    <t>?</t>
  </si>
  <si>
    <t>Up to 18th Feb (Xu paper comparison)</t>
  </si>
  <si>
    <t xml:space="preserve">Xu has </t>
  </si>
  <si>
    <t>symptomatic cases</t>
  </si>
  <si>
    <t>https://www.mhlw.go.jp/stf/seisakunitsuite/bunya/newpage_00032.html</t>
  </si>
  <si>
    <t>Xu is using the MHLW press conference</t>
  </si>
  <si>
    <t>Also Xu uses MHLW data to 15 Feb for analysis, which is 17+129 = 146 cases</t>
  </si>
  <si>
    <t>Up to 15th Feb (Xu paper comparison)</t>
  </si>
  <si>
    <t>See also: Table in Japanese</t>
  </si>
  <si>
    <t>PCR tests represent samples acquird 24 hours previously</t>
  </si>
  <si>
    <t>symptomatic cases - THESE ARE PAX&amp;CREW - 149 pax + 48 crew</t>
  </si>
  <si>
    <t>696 positive, 552 pax and 144 crew</t>
  </si>
  <si>
    <t>Seems 81+329 = 410 were asymptomatic, 329 pax and 81 crew</t>
  </si>
  <si>
    <t>symptomatic, 223 pax and 63 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</si>
</sst>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1" applyFont="1"/>
    <xf numFmtId="14" fontId="0" fillId="0" borderId="0" xfId="0" applyNumberFormat="1" applyFill="1" applyBorder="1"/>
    <xf numFmtId="0" fontId="3" fillId="0" borderId="0" xfId="1" applyFont="1" applyFill="1" applyBorder="1"/>
    <xf numFmtId="0" fontId="0" fillId="0" borderId="0" xfId="0" applyBorder="1"/>
    <xf numFmtId="14" fontId="0" fillId="0" borderId="1" xfId="0" applyNumberFormat="1" applyBorder="1"/>
    <xf numFmtId="0" fontId="0" fillId="0" borderId="2" xfId="0" applyBorder="1"/>
    <xf numFmtId="0" fontId="1" fillId="0" borderId="2" xfId="1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3" fillId="0" borderId="7" xfId="1" applyFont="1" applyFill="1" applyBorder="1"/>
    <xf numFmtId="0" fontId="0" fillId="0" borderId="8" xfId="0" applyBorder="1"/>
    <xf numFmtId="164" fontId="3" fillId="0" borderId="0" xfId="1" applyNumberFormat="1" applyFont="1" applyFill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Font="1"/>
    <xf numFmtId="14" fontId="2" fillId="0" borderId="0" xfId="0" applyNumberFormat="1" applyFont="1" applyFill="1" applyBorder="1"/>
    <xf numFmtId="0" fontId="0" fillId="0" borderId="0" xfId="0" applyFont="1" applyAlignment="1">
      <alignment vertical="center"/>
    </xf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newpage_09997.html" TargetMode="External"/><Relationship Id="rId2" Type="http://schemas.openxmlformats.org/officeDocument/2006/relationships/hyperlink" Target="https://www.mhlw.go.jp/stf/newpage_09705.html" TargetMode="External"/><Relationship Id="rId1" Type="http://schemas.openxmlformats.org/officeDocument/2006/relationships/hyperlink" Target="https://en.wikipedia.org/wiki/COVID-19_pandemic_on_Diamond_Princes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hlw.go.jp/stf/newpage_099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4AC7-B4DE-4148-A888-72A3E04FDA06}">
  <dimension ref="A1:AA67"/>
  <sheetViews>
    <sheetView tabSelected="1" topLeftCell="A28" workbookViewId="0">
      <selection activeCell="B54" sqref="B54"/>
    </sheetView>
  </sheetViews>
  <sheetFormatPr defaultRowHeight="14.5" x14ac:dyDescent="0.35"/>
  <cols>
    <col min="1" max="1" width="11.54296875" bestFit="1" customWidth="1"/>
    <col min="20" max="20" width="14.90625" customWidth="1"/>
    <col min="21" max="21" width="13.453125" customWidth="1"/>
  </cols>
  <sheetData>
    <row r="1" spans="1:27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64</v>
      </c>
      <c r="G1" t="s">
        <v>65</v>
      </c>
      <c r="H1" t="s">
        <v>34</v>
      </c>
      <c r="I1" t="s">
        <v>22</v>
      </c>
      <c r="J1" t="s">
        <v>31</v>
      </c>
      <c r="K1" t="s">
        <v>60</v>
      </c>
      <c r="L1" t="s">
        <v>59</v>
      </c>
      <c r="M1" t="s">
        <v>7</v>
      </c>
      <c r="N1" t="s">
        <v>56</v>
      </c>
      <c r="O1" s="2" t="s">
        <v>23</v>
      </c>
    </row>
    <row r="2" spans="1:27" x14ac:dyDescent="0.35">
      <c r="A2" s="1">
        <v>43865</v>
      </c>
      <c r="B2">
        <v>0</v>
      </c>
      <c r="E2">
        <v>0</v>
      </c>
      <c r="N2">
        <v>0</v>
      </c>
      <c r="O2" t="s">
        <v>15</v>
      </c>
    </row>
    <row r="3" spans="1:27" x14ac:dyDescent="0.35">
      <c r="A3" s="1">
        <v>43866</v>
      </c>
      <c r="B3">
        <v>1</v>
      </c>
      <c r="C3">
        <v>10</v>
      </c>
      <c r="D3">
        <v>10</v>
      </c>
      <c r="E3">
        <f t="shared" ref="E3:E24" si="0">E2+C3</f>
        <v>10</v>
      </c>
      <c r="F3">
        <f t="shared" ref="F3:F24" si="1">C3</f>
        <v>10</v>
      </c>
      <c r="G3">
        <f>G2+F3</f>
        <v>10</v>
      </c>
      <c r="K3">
        <v>31</v>
      </c>
      <c r="L3">
        <f>K3</f>
        <v>31</v>
      </c>
      <c r="M3">
        <v>31</v>
      </c>
      <c r="N3">
        <f>N2+L3</f>
        <v>31</v>
      </c>
      <c r="O3" t="s">
        <v>6</v>
      </c>
      <c r="T3" s="3" t="s">
        <v>88</v>
      </c>
    </row>
    <row r="4" spans="1:27" x14ac:dyDescent="0.35">
      <c r="A4" s="1">
        <v>43867</v>
      </c>
      <c r="B4">
        <v>2</v>
      </c>
      <c r="C4">
        <v>10</v>
      </c>
      <c r="D4">
        <v>20</v>
      </c>
      <c r="E4">
        <f t="shared" si="0"/>
        <v>20</v>
      </c>
      <c r="F4">
        <f t="shared" si="1"/>
        <v>10</v>
      </c>
      <c r="G4">
        <f t="shared" ref="G4:G24" si="2">G3+F4</f>
        <v>20</v>
      </c>
      <c r="L4">
        <f>M4-M3</f>
        <v>71</v>
      </c>
      <c r="M4">
        <v>102</v>
      </c>
      <c r="N4">
        <f t="shared" ref="N4:N24" si="3">N3+L4</f>
        <v>102</v>
      </c>
      <c r="O4" s="4" t="s">
        <v>12</v>
      </c>
      <c r="U4" t="s">
        <v>18</v>
      </c>
    </row>
    <row r="5" spans="1:27" x14ac:dyDescent="0.35">
      <c r="A5" s="1">
        <v>43868</v>
      </c>
      <c r="B5">
        <v>3</v>
      </c>
      <c r="C5">
        <v>41</v>
      </c>
      <c r="D5">
        <v>61</v>
      </c>
      <c r="E5">
        <f t="shared" si="0"/>
        <v>61</v>
      </c>
      <c r="F5">
        <f t="shared" si="1"/>
        <v>41</v>
      </c>
      <c r="G5">
        <f t="shared" si="2"/>
        <v>61</v>
      </c>
      <c r="L5">
        <f>M5-M4</f>
        <v>171</v>
      </c>
      <c r="M5">
        <v>273</v>
      </c>
      <c r="N5">
        <f t="shared" si="3"/>
        <v>273</v>
      </c>
      <c r="O5" t="s">
        <v>11</v>
      </c>
    </row>
    <row r="6" spans="1:27" x14ac:dyDescent="0.35">
      <c r="A6" s="1">
        <v>43869</v>
      </c>
      <c r="B6">
        <v>4</v>
      </c>
      <c r="C6">
        <v>3</v>
      </c>
      <c r="D6">
        <v>64</v>
      </c>
      <c r="E6">
        <f t="shared" si="0"/>
        <v>64</v>
      </c>
      <c r="F6">
        <f t="shared" si="1"/>
        <v>3</v>
      </c>
      <c r="G6">
        <f t="shared" si="2"/>
        <v>64</v>
      </c>
      <c r="L6">
        <f>M6-M5</f>
        <v>6</v>
      </c>
      <c r="M6">
        <v>279</v>
      </c>
      <c r="N6">
        <f t="shared" si="3"/>
        <v>279</v>
      </c>
      <c r="O6" t="s">
        <v>13</v>
      </c>
      <c r="T6" t="s">
        <v>24</v>
      </c>
    </row>
    <row r="7" spans="1:27" x14ac:dyDescent="0.35">
      <c r="A7" s="1">
        <v>43870</v>
      </c>
      <c r="B7">
        <v>5</v>
      </c>
      <c r="C7">
        <v>6</v>
      </c>
      <c r="D7">
        <v>70</v>
      </c>
      <c r="E7">
        <f t="shared" si="0"/>
        <v>70</v>
      </c>
      <c r="F7">
        <f t="shared" si="1"/>
        <v>6</v>
      </c>
      <c r="G7">
        <f t="shared" si="2"/>
        <v>70</v>
      </c>
      <c r="L7">
        <f>M7-M6</f>
        <v>57</v>
      </c>
      <c r="M7">
        <v>336</v>
      </c>
      <c r="N7">
        <f t="shared" si="3"/>
        <v>336</v>
      </c>
      <c r="O7" t="s">
        <v>14</v>
      </c>
      <c r="T7" t="s">
        <v>25</v>
      </c>
    </row>
    <row r="8" spans="1:27" x14ac:dyDescent="0.35">
      <c r="A8" s="1">
        <v>43871</v>
      </c>
      <c r="B8">
        <v>6</v>
      </c>
      <c r="C8">
        <v>65</v>
      </c>
      <c r="D8">
        <v>135</v>
      </c>
      <c r="E8">
        <f t="shared" si="0"/>
        <v>135</v>
      </c>
      <c r="F8">
        <f t="shared" si="1"/>
        <v>65</v>
      </c>
      <c r="G8">
        <f t="shared" si="2"/>
        <v>135</v>
      </c>
      <c r="L8">
        <f>M8-M7</f>
        <v>103</v>
      </c>
      <c r="M8">
        <v>439</v>
      </c>
      <c r="N8">
        <f t="shared" si="3"/>
        <v>439</v>
      </c>
      <c r="O8" s="2" t="s">
        <v>17</v>
      </c>
      <c r="T8" t="s">
        <v>26</v>
      </c>
    </row>
    <row r="9" spans="1:27" x14ac:dyDescent="0.35">
      <c r="A9" s="1">
        <v>43872</v>
      </c>
      <c r="B9">
        <v>7</v>
      </c>
      <c r="E9">
        <f t="shared" si="0"/>
        <v>135</v>
      </c>
      <c r="G9">
        <f t="shared" si="2"/>
        <v>135</v>
      </c>
      <c r="N9">
        <f t="shared" si="3"/>
        <v>439</v>
      </c>
      <c r="O9" s="4" t="s">
        <v>12</v>
      </c>
    </row>
    <row r="10" spans="1:27" x14ac:dyDescent="0.35">
      <c r="A10" s="1">
        <v>43873</v>
      </c>
      <c r="B10">
        <v>8</v>
      </c>
      <c r="C10">
        <v>39</v>
      </c>
      <c r="D10">
        <v>174</v>
      </c>
      <c r="E10">
        <f t="shared" si="0"/>
        <v>174</v>
      </c>
      <c r="F10">
        <f>C10-1</f>
        <v>38</v>
      </c>
      <c r="G10">
        <f t="shared" si="2"/>
        <v>173</v>
      </c>
      <c r="L10">
        <f>M10-M8</f>
        <v>53</v>
      </c>
      <c r="M10">
        <v>492</v>
      </c>
      <c r="N10">
        <f t="shared" si="3"/>
        <v>492</v>
      </c>
      <c r="O10" t="s">
        <v>12</v>
      </c>
      <c r="P10" s="5" t="s">
        <v>63</v>
      </c>
      <c r="R10" s="3"/>
      <c r="T10" t="s">
        <v>62</v>
      </c>
      <c r="V10" t="s">
        <v>16</v>
      </c>
    </row>
    <row r="11" spans="1:27" x14ac:dyDescent="0.35">
      <c r="A11" s="1">
        <v>43874</v>
      </c>
      <c r="B11">
        <v>9</v>
      </c>
      <c r="C11">
        <v>44</v>
      </c>
      <c r="D11">
        <v>218</v>
      </c>
      <c r="E11">
        <f t="shared" si="0"/>
        <v>218</v>
      </c>
      <c r="F11">
        <f t="shared" si="1"/>
        <v>44</v>
      </c>
      <c r="G11">
        <f t="shared" si="2"/>
        <v>217</v>
      </c>
      <c r="J11">
        <f>I13-H13</f>
        <v>35</v>
      </c>
      <c r="K11">
        <v>221</v>
      </c>
      <c r="L11">
        <f>K11</f>
        <v>221</v>
      </c>
      <c r="M11">
        <v>713</v>
      </c>
      <c r="N11">
        <f t="shared" si="3"/>
        <v>713</v>
      </c>
      <c r="O11" s="2" t="s">
        <v>20</v>
      </c>
      <c r="T11" s="3" t="s">
        <v>27</v>
      </c>
      <c r="U11" s="3" t="s">
        <v>61</v>
      </c>
      <c r="W11" t="s">
        <v>89</v>
      </c>
      <c r="AA11" t="s">
        <v>19</v>
      </c>
    </row>
    <row r="12" spans="1:27" x14ac:dyDescent="0.35">
      <c r="A12" s="1">
        <v>43875</v>
      </c>
      <c r="B12">
        <v>10</v>
      </c>
      <c r="E12">
        <f t="shared" si="0"/>
        <v>218</v>
      </c>
      <c r="G12">
        <f t="shared" si="2"/>
        <v>217</v>
      </c>
      <c r="N12">
        <f t="shared" si="3"/>
        <v>713</v>
      </c>
      <c r="O12" s="4" t="s">
        <v>12</v>
      </c>
      <c r="U12" s="22" t="s">
        <v>90</v>
      </c>
      <c r="AA12" s="3" t="s">
        <v>91</v>
      </c>
    </row>
    <row r="13" spans="1:27" x14ac:dyDescent="0.35">
      <c r="A13" s="1">
        <v>43876</v>
      </c>
      <c r="B13">
        <v>11</v>
      </c>
      <c r="C13">
        <v>67</v>
      </c>
      <c r="D13">
        <v>285</v>
      </c>
      <c r="E13">
        <f t="shared" si="0"/>
        <v>285</v>
      </c>
      <c r="F13">
        <f t="shared" si="1"/>
        <v>67</v>
      </c>
      <c r="G13">
        <f t="shared" si="2"/>
        <v>284</v>
      </c>
      <c r="H13">
        <v>38</v>
      </c>
      <c r="I13">
        <v>73</v>
      </c>
      <c r="J13">
        <f>J11+H13</f>
        <v>73</v>
      </c>
      <c r="K13">
        <v>217</v>
      </c>
      <c r="L13">
        <f t="shared" ref="L13:L18" si="4">K13</f>
        <v>217</v>
      </c>
      <c r="M13">
        <v>930</v>
      </c>
      <c r="N13">
        <f t="shared" si="3"/>
        <v>930</v>
      </c>
      <c r="O13" s="2" t="s">
        <v>21</v>
      </c>
      <c r="T13" t="s">
        <v>28</v>
      </c>
      <c r="U13" s="3" t="s">
        <v>100</v>
      </c>
      <c r="W13" s="3" t="s">
        <v>99</v>
      </c>
      <c r="Y13" t="s">
        <v>37</v>
      </c>
    </row>
    <row r="14" spans="1:27" x14ac:dyDescent="0.35">
      <c r="A14" s="1">
        <v>43877</v>
      </c>
      <c r="B14">
        <v>12</v>
      </c>
      <c r="C14">
        <v>70</v>
      </c>
      <c r="D14">
        <v>355</v>
      </c>
      <c r="E14">
        <f t="shared" si="0"/>
        <v>355</v>
      </c>
      <c r="F14">
        <f t="shared" si="1"/>
        <v>70</v>
      </c>
      <c r="G14">
        <f t="shared" si="2"/>
        <v>354</v>
      </c>
      <c r="H14">
        <v>38</v>
      </c>
      <c r="I14">
        <v>111</v>
      </c>
      <c r="J14">
        <f>J13+H14</f>
        <v>111</v>
      </c>
      <c r="K14">
        <v>289</v>
      </c>
      <c r="L14">
        <f t="shared" si="4"/>
        <v>289</v>
      </c>
      <c r="M14">
        <v>1219</v>
      </c>
      <c r="N14">
        <f t="shared" si="3"/>
        <v>1219</v>
      </c>
      <c r="O14" s="2" t="s">
        <v>29</v>
      </c>
      <c r="T14" t="s">
        <v>30</v>
      </c>
      <c r="Y14" t="s">
        <v>36</v>
      </c>
    </row>
    <row r="15" spans="1:27" x14ac:dyDescent="0.35">
      <c r="A15" s="1">
        <v>43878</v>
      </c>
      <c r="B15">
        <v>13</v>
      </c>
      <c r="C15">
        <v>99</v>
      </c>
      <c r="D15">
        <v>454</v>
      </c>
      <c r="E15">
        <f t="shared" si="0"/>
        <v>454</v>
      </c>
      <c r="F15">
        <f>C15-8</f>
        <v>91</v>
      </c>
      <c r="G15">
        <f t="shared" si="2"/>
        <v>445</v>
      </c>
      <c r="H15">
        <v>70</v>
      </c>
      <c r="I15">
        <f>189-8</f>
        <v>181</v>
      </c>
      <c r="J15">
        <f>J14+H15</f>
        <v>181</v>
      </c>
      <c r="K15">
        <v>504</v>
      </c>
      <c r="L15">
        <f t="shared" si="4"/>
        <v>504</v>
      </c>
      <c r="M15">
        <v>1723</v>
      </c>
      <c r="N15">
        <f t="shared" si="3"/>
        <v>1723</v>
      </c>
      <c r="O15" s="2" t="s">
        <v>32</v>
      </c>
      <c r="T15" t="s">
        <v>33</v>
      </c>
      <c r="U15" s="3" t="s">
        <v>35</v>
      </c>
    </row>
    <row r="16" spans="1:27" x14ac:dyDescent="0.35">
      <c r="A16" s="1">
        <v>43879</v>
      </c>
      <c r="B16">
        <v>14</v>
      </c>
      <c r="C16">
        <v>88</v>
      </c>
      <c r="D16">
        <v>542</v>
      </c>
      <c r="E16">
        <f t="shared" si="0"/>
        <v>542</v>
      </c>
      <c r="F16">
        <f t="shared" si="1"/>
        <v>88</v>
      </c>
      <c r="G16">
        <f t="shared" si="2"/>
        <v>533</v>
      </c>
      <c r="H16">
        <v>65</v>
      </c>
      <c r="I16">
        <f>254-8</f>
        <v>246</v>
      </c>
      <c r="J16">
        <f>J15+H16</f>
        <v>246</v>
      </c>
      <c r="K16">
        <v>681</v>
      </c>
      <c r="L16">
        <f t="shared" si="4"/>
        <v>681</v>
      </c>
      <c r="M16">
        <v>2404</v>
      </c>
      <c r="N16">
        <f t="shared" si="3"/>
        <v>2404</v>
      </c>
      <c r="O16" s="2" t="s">
        <v>38</v>
      </c>
      <c r="T16" t="s">
        <v>39</v>
      </c>
      <c r="U16" t="s">
        <v>46</v>
      </c>
      <c r="V16" t="s">
        <v>40</v>
      </c>
      <c r="AA16" s="3"/>
    </row>
    <row r="17" spans="1:23" x14ac:dyDescent="0.35">
      <c r="A17" s="1">
        <v>43880</v>
      </c>
      <c r="B17">
        <v>15</v>
      </c>
      <c r="C17">
        <v>79</v>
      </c>
      <c r="D17">
        <v>621</v>
      </c>
      <c r="E17">
        <f t="shared" si="0"/>
        <v>621</v>
      </c>
      <c r="F17">
        <f t="shared" si="1"/>
        <v>79</v>
      </c>
      <c r="G17">
        <f t="shared" si="2"/>
        <v>612</v>
      </c>
      <c r="H17">
        <v>68</v>
      </c>
      <c r="I17">
        <f>322-8</f>
        <v>314</v>
      </c>
      <c r="J17">
        <f>J16+H17</f>
        <v>314</v>
      </c>
      <c r="K17">
        <v>607</v>
      </c>
      <c r="L17">
        <f t="shared" si="4"/>
        <v>607</v>
      </c>
      <c r="M17">
        <v>3011</v>
      </c>
      <c r="N17">
        <f t="shared" si="3"/>
        <v>3011</v>
      </c>
      <c r="O17" s="2" t="s">
        <v>44</v>
      </c>
      <c r="T17" t="s">
        <v>45</v>
      </c>
      <c r="U17" t="s">
        <v>47</v>
      </c>
      <c r="V17" t="s">
        <v>48</v>
      </c>
    </row>
    <row r="18" spans="1:23" x14ac:dyDescent="0.35">
      <c r="A18" s="1">
        <v>43881</v>
      </c>
      <c r="B18">
        <v>16</v>
      </c>
      <c r="C18">
        <v>13</v>
      </c>
      <c r="D18">
        <v>634</v>
      </c>
      <c r="E18">
        <f t="shared" si="0"/>
        <v>634</v>
      </c>
      <c r="F18">
        <f t="shared" si="1"/>
        <v>13</v>
      </c>
      <c r="G18">
        <f t="shared" si="2"/>
        <v>625</v>
      </c>
      <c r="H18">
        <v>6</v>
      </c>
      <c r="I18">
        <f>328-8</f>
        <v>320</v>
      </c>
      <c r="J18">
        <f>J17+H18</f>
        <v>320</v>
      </c>
      <c r="K18">
        <v>52</v>
      </c>
      <c r="L18">
        <f t="shared" si="4"/>
        <v>52</v>
      </c>
      <c r="M18">
        <v>3063</v>
      </c>
      <c r="N18">
        <f t="shared" si="3"/>
        <v>3063</v>
      </c>
      <c r="O18" s="2" t="s">
        <v>49</v>
      </c>
      <c r="T18" t="s">
        <v>50</v>
      </c>
      <c r="U18" t="s">
        <v>47</v>
      </c>
      <c r="V18" t="s">
        <v>51</v>
      </c>
    </row>
    <row r="19" spans="1:23" x14ac:dyDescent="0.35">
      <c r="A19" s="1">
        <v>43882</v>
      </c>
      <c r="B19">
        <v>17</v>
      </c>
      <c r="E19">
        <f t="shared" si="0"/>
        <v>634</v>
      </c>
      <c r="G19">
        <f t="shared" si="2"/>
        <v>625</v>
      </c>
      <c r="N19">
        <f t="shared" si="3"/>
        <v>3063</v>
      </c>
      <c r="O19" s="4" t="s">
        <v>12</v>
      </c>
    </row>
    <row r="20" spans="1:23" x14ac:dyDescent="0.35">
      <c r="A20" s="1">
        <v>43883</v>
      </c>
      <c r="B20">
        <v>18</v>
      </c>
      <c r="E20">
        <f t="shared" si="0"/>
        <v>634</v>
      </c>
      <c r="G20">
        <f t="shared" si="2"/>
        <v>625</v>
      </c>
      <c r="N20">
        <f t="shared" si="3"/>
        <v>3063</v>
      </c>
      <c r="O20" s="4" t="s">
        <v>12</v>
      </c>
      <c r="P20" s="2" t="s">
        <v>52</v>
      </c>
      <c r="V20" t="s">
        <v>53</v>
      </c>
    </row>
    <row r="21" spans="1:23" x14ac:dyDescent="0.35">
      <c r="A21" s="1">
        <v>43884</v>
      </c>
      <c r="B21">
        <v>19</v>
      </c>
      <c r="C21">
        <f>55+2</f>
        <v>57</v>
      </c>
      <c r="D21">
        <f>D18+C21</f>
        <v>691</v>
      </c>
      <c r="E21">
        <f t="shared" si="0"/>
        <v>691</v>
      </c>
      <c r="F21">
        <f t="shared" si="1"/>
        <v>57</v>
      </c>
      <c r="G21">
        <f t="shared" si="2"/>
        <v>682</v>
      </c>
      <c r="H21">
        <f>50+2</f>
        <v>52</v>
      </c>
      <c r="I21">
        <f>I18+H21</f>
        <v>372</v>
      </c>
      <c r="J21">
        <f>J18+H21</f>
        <v>372</v>
      </c>
      <c r="K21">
        <f>819+12</f>
        <v>831</v>
      </c>
      <c r="L21">
        <f>K21</f>
        <v>831</v>
      </c>
      <c r="M21">
        <f>N21</f>
        <v>3894</v>
      </c>
      <c r="N21">
        <f t="shared" si="3"/>
        <v>3894</v>
      </c>
      <c r="O21" s="2" t="s">
        <v>55</v>
      </c>
      <c r="T21" t="s">
        <v>58</v>
      </c>
    </row>
    <row r="22" spans="1:23" x14ac:dyDescent="0.35">
      <c r="A22" s="1">
        <v>43885</v>
      </c>
      <c r="B22">
        <v>20</v>
      </c>
      <c r="E22">
        <f t="shared" si="0"/>
        <v>691</v>
      </c>
      <c r="G22">
        <f t="shared" si="2"/>
        <v>682</v>
      </c>
      <c r="M22">
        <f>N22</f>
        <v>3894</v>
      </c>
      <c r="N22">
        <f t="shared" si="3"/>
        <v>3894</v>
      </c>
      <c r="O22" s="4" t="s">
        <v>12</v>
      </c>
    </row>
    <row r="23" spans="1:23" x14ac:dyDescent="0.35">
      <c r="A23" s="1">
        <v>43886</v>
      </c>
      <c r="B23">
        <v>21</v>
      </c>
      <c r="E23">
        <f t="shared" si="0"/>
        <v>691</v>
      </c>
      <c r="G23">
        <f t="shared" si="2"/>
        <v>682</v>
      </c>
      <c r="M23">
        <f>N23</f>
        <v>3894</v>
      </c>
      <c r="N23">
        <f t="shared" si="3"/>
        <v>3894</v>
      </c>
      <c r="O23" s="4" t="s">
        <v>12</v>
      </c>
    </row>
    <row r="24" spans="1:23" x14ac:dyDescent="0.35">
      <c r="A24" s="1">
        <v>43887</v>
      </c>
      <c r="B24">
        <v>22</v>
      </c>
      <c r="C24">
        <f>9+5</f>
        <v>14</v>
      </c>
      <c r="D24">
        <f>D21+C24</f>
        <v>705</v>
      </c>
      <c r="E24">
        <f t="shared" si="0"/>
        <v>705</v>
      </c>
      <c r="F24">
        <f t="shared" si="1"/>
        <v>14</v>
      </c>
      <c r="G24">
        <f t="shared" si="2"/>
        <v>696</v>
      </c>
      <c r="H24">
        <f>7+5</f>
        <v>12</v>
      </c>
      <c r="I24">
        <f>392-8</f>
        <v>384</v>
      </c>
      <c r="J24">
        <f>J21+H24</f>
        <v>384</v>
      </c>
      <c r="K24">
        <f>94+73</f>
        <v>167</v>
      </c>
      <c r="L24">
        <f>K24</f>
        <v>167</v>
      </c>
      <c r="M24">
        <v>4061</v>
      </c>
      <c r="N24">
        <f t="shared" si="3"/>
        <v>4061</v>
      </c>
      <c r="O24" s="2" t="s">
        <v>54</v>
      </c>
      <c r="T24" t="s">
        <v>57</v>
      </c>
    </row>
    <row r="25" spans="1:23" x14ac:dyDescent="0.35">
      <c r="A25" s="1"/>
      <c r="O25" s="4" t="s">
        <v>67</v>
      </c>
    </row>
    <row r="26" spans="1:23" x14ac:dyDescent="0.35">
      <c r="A26" s="9">
        <v>43895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 t="s">
        <v>66</v>
      </c>
      <c r="P26" s="10"/>
      <c r="Q26" s="10"/>
      <c r="R26" s="10"/>
      <c r="S26" s="10"/>
      <c r="T26" s="10" t="s">
        <v>72</v>
      </c>
      <c r="U26" s="10"/>
      <c r="V26" s="10"/>
      <c r="W26" s="12"/>
    </row>
    <row r="27" spans="1:23" x14ac:dyDescent="0.35">
      <c r="A27" s="1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 t="s">
        <v>73</v>
      </c>
      <c r="P27" s="8"/>
      <c r="Q27" s="8"/>
      <c r="R27" s="8"/>
      <c r="S27" s="8"/>
      <c r="T27" s="8"/>
      <c r="U27" s="8"/>
      <c r="V27" s="8"/>
      <c r="W27" s="14"/>
    </row>
    <row r="28" spans="1:23" x14ac:dyDescent="0.35">
      <c r="A28" s="1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 t="s">
        <v>78</v>
      </c>
      <c r="P28" s="8" t="s">
        <v>74</v>
      </c>
      <c r="Q28" s="8" t="s">
        <v>75</v>
      </c>
      <c r="R28" s="8" t="s">
        <v>79</v>
      </c>
      <c r="S28" s="8" t="s">
        <v>76</v>
      </c>
      <c r="T28" s="8" t="s">
        <v>80</v>
      </c>
      <c r="U28" s="8" t="s">
        <v>77</v>
      </c>
      <c r="V28" s="8"/>
      <c r="W28" s="14"/>
    </row>
    <row r="29" spans="1:23" x14ac:dyDescent="0.3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>
        <v>3711</v>
      </c>
      <c r="P29" s="16">
        <v>3618</v>
      </c>
      <c r="Q29" s="16">
        <v>696</v>
      </c>
      <c r="R29" s="16">
        <v>552</v>
      </c>
      <c r="S29" s="16">
        <v>329</v>
      </c>
      <c r="T29" s="16">
        <v>144</v>
      </c>
      <c r="U29" s="16">
        <v>81</v>
      </c>
      <c r="V29" s="16"/>
      <c r="W29" s="18"/>
    </row>
    <row r="30" spans="1:23" x14ac:dyDescent="0.35">
      <c r="A30" s="1"/>
      <c r="O30" s="7" t="s">
        <v>81</v>
      </c>
    </row>
    <row r="31" spans="1:23" x14ac:dyDescent="0.35">
      <c r="A31" s="1" t="s">
        <v>111</v>
      </c>
      <c r="O31" s="21" t="s">
        <v>83</v>
      </c>
      <c r="P31" t="s">
        <v>85</v>
      </c>
      <c r="Q31" s="7" t="s">
        <v>84</v>
      </c>
      <c r="R31" s="3" t="s">
        <v>82</v>
      </c>
      <c r="S31" t="s">
        <v>85</v>
      </c>
      <c r="T31" s="7" t="s">
        <v>84</v>
      </c>
    </row>
    <row r="32" spans="1:23" x14ac:dyDescent="0.35">
      <c r="A32" s="1" t="s">
        <v>2</v>
      </c>
      <c r="B32">
        <f>G16</f>
        <v>533</v>
      </c>
      <c r="O32">
        <v>384</v>
      </c>
      <c r="P32" s="20">
        <f>(35)/217</f>
        <v>0.16129032258064516</v>
      </c>
      <c r="Q32" s="19">
        <f>(384-35)/(696-217)</f>
        <v>0.72860125260960329</v>
      </c>
      <c r="S32" s="20">
        <f>713/4061</f>
        <v>0.17557251908396945</v>
      </c>
      <c r="T32" s="20">
        <f>(4061-713)/4061</f>
        <v>0.82442748091603058</v>
      </c>
      <c r="U32" t="s">
        <v>87</v>
      </c>
    </row>
    <row r="33" spans="1:20" x14ac:dyDescent="0.35">
      <c r="A33" s="1" t="s">
        <v>34</v>
      </c>
      <c r="B33">
        <f>I16</f>
        <v>246</v>
      </c>
      <c r="O33" s="21" t="s">
        <v>109</v>
      </c>
      <c r="P33" s="20"/>
      <c r="Q33" s="19"/>
      <c r="S33" s="20"/>
      <c r="T33" s="20"/>
    </row>
    <row r="34" spans="1:20" x14ac:dyDescent="0.35">
      <c r="A34" s="1" t="s">
        <v>109</v>
      </c>
      <c r="B34">
        <f>B32-B33</f>
        <v>287</v>
      </c>
      <c r="C34" t="s">
        <v>110</v>
      </c>
      <c r="O34">
        <f>696-384</f>
        <v>312</v>
      </c>
      <c r="P34" s="20">
        <f>(217-35)/217</f>
        <v>0.83870967741935487</v>
      </c>
      <c r="Q34" s="19">
        <f>(696-384-217+35)/(696-217)</f>
        <v>0.27139874739039666</v>
      </c>
      <c r="S34" s="20"/>
      <c r="T34" s="20"/>
    </row>
    <row r="35" spans="1:20" x14ac:dyDescent="0.35">
      <c r="A35" s="1" t="s">
        <v>112</v>
      </c>
      <c r="B35">
        <v>197</v>
      </c>
      <c r="C35" s="3" t="s">
        <v>120</v>
      </c>
      <c r="O35" s="7" t="s">
        <v>86</v>
      </c>
      <c r="P35" s="19"/>
      <c r="Q35" s="20"/>
      <c r="S35" s="20"/>
      <c r="T35" s="20"/>
    </row>
    <row r="36" spans="1:20" x14ac:dyDescent="0.35">
      <c r="A36" s="1" t="s">
        <v>115</v>
      </c>
      <c r="C36" t="s">
        <v>114</v>
      </c>
    </row>
    <row r="37" spans="1:20" x14ac:dyDescent="0.35">
      <c r="A37" s="1" t="s">
        <v>116</v>
      </c>
      <c r="O37" s="2" t="s">
        <v>5</v>
      </c>
    </row>
    <row r="38" spans="1:20" x14ac:dyDescent="0.35">
      <c r="A38" s="1" t="s">
        <v>117</v>
      </c>
      <c r="O38" t="s">
        <v>8</v>
      </c>
    </row>
    <row r="39" spans="1:20" x14ac:dyDescent="0.35">
      <c r="A39" s="1" t="s">
        <v>2</v>
      </c>
      <c r="B39">
        <f>G13</f>
        <v>284</v>
      </c>
      <c r="O39" t="s">
        <v>9</v>
      </c>
    </row>
    <row r="40" spans="1:20" x14ac:dyDescent="0.35">
      <c r="A40" s="1" t="s">
        <v>34</v>
      </c>
      <c r="B40">
        <f>I13</f>
        <v>73</v>
      </c>
      <c r="O40" t="s">
        <v>10</v>
      </c>
    </row>
    <row r="41" spans="1:20" x14ac:dyDescent="0.35">
      <c r="A41" s="1" t="s">
        <v>109</v>
      </c>
      <c r="B41">
        <f>B39-B40</f>
        <v>211</v>
      </c>
    </row>
    <row r="42" spans="1:20" x14ac:dyDescent="0.35">
      <c r="A42" s="1" t="s">
        <v>112</v>
      </c>
      <c r="B42">
        <v>146</v>
      </c>
      <c r="C42" t="s">
        <v>113</v>
      </c>
      <c r="O42" t="s">
        <v>89</v>
      </c>
      <c r="T42" s="3" t="s">
        <v>91</v>
      </c>
    </row>
    <row r="43" spans="1:20" x14ac:dyDescent="0.35">
      <c r="A43" s="1"/>
      <c r="O43" t="s">
        <v>92</v>
      </c>
    </row>
    <row r="44" spans="1:20" x14ac:dyDescent="0.35">
      <c r="A44" s="1"/>
      <c r="O44" t="s">
        <v>94</v>
      </c>
    </row>
    <row r="45" spans="1:20" x14ac:dyDescent="0.35">
      <c r="A45" s="25" t="s">
        <v>118</v>
      </c>
      <c r="O45" t="s">
        <v>93</v>
      </c>
    </row>
    <row r="46" spans="1:20" x14ac:dyDescent="0.35">
      <c r="A46" s="1" t="s">
        <v>71</v>
      </c>
    </row>
    <row r="47" spans="1:20" x14ac:dyDescent="0.35">
      <c r="A47" s="2" t="s">
        <v>66</v>
      </c>
      <c r="O47" s="2" t="s">
        <v>89</v>
      </c>
    </row>
    <row r="48" spans="1:20" x14ac:dyDescent="0.35">
      <c r="A48" s="6" t="s">
        <v>68</v>
      </c>
      <c r="O48" t="s">
        <v>41</v>
      </c>
      <c r="P48" t="s">
        <v>42</v>
      </c>
    </row>
    <row r="49" spans="1:16" x14ac:dyDescent="0.35">
      <c r="A49" s="6" t="s">
        <v>121</v>
      </c>
      <c r="P49" t="s">
        <v>43</v>
      </c>
    </row>
    <row r="50" spans="1:16" x14ac:dyDescent="0.35">
      <c r="A50" s="6" t="s">
        <v>69</v>
      </c>
    </row>
    <row r="51" spans="1:16" x14ac:dyDescent="0.35">
      <c r="A51" s="6" t="s">
        <v>122</v>
      </c>
    </row>
    <row r="52" spans="1:16" x14ac:dyDescent="0.35">
      <c r="A52">
        <f>410-I24</f>
        <v>26</v>
      </c>
      <c r="B52" t="s">
        <v>70</v>
      </c>
    </row>
    <row r="53" spans="1:16" x14ac:dyDescent="0.35">
      <c r="A53" s="3">
        <f>696-410</f>
        <v>286</v>
      </c>
      <c r="B53" s="3" t="s">
        <v>123</v>
      </c>
    </row>
    <row r="55" spans="1:16" x14ac:dyDescent="0.35">
      <c r="A55" s="23" t="s">
        <v>95</v>
      </c>
    </row>
    <row r="56" spans="1:16" x14ac:dyDescent="0.35">
      <c r="A56" t="s">
        <v>119</v>
      </c>
    </row>
    <row r="57" spans="1:16" x14ac:dyDescent="0.35">
      <c r="A57" t="s">
        <v>96</v>
      </c>
    </row>
    <row r="58" spans="1:16" x14ac:dyDescent="0.35">
      <c r="A58" t="s">
        <v>107</v>
      </c>
    </row>
    <row r="59" spans="1:16" x14ac:dyDescent="0.35">
      <c r="A59" t="s">
        <v>108</v>
      </c>
    </row>
    <row r="60" spans="1:16" x14ac:dyDescent="0.35">
      <c r="A60" t="s">
        <v>97</v>
      </c>
    </row>
    <row r="61" spans="1:16" x14ac:dyDescent="0.35">
      <c r="A61" t="s">
        <v>98</v>
      </c>
    </row>
    <row r="63" spans="1:16" x14ac:dyDescent="0.35">
      <c r="A63" t="s">
        <v>101</v>
      </c>
    </row>
    <row r="64" spans="1:16" x14ac:dyDescent="0.35">
      <c r="A64" t="s">
        <v>102</v>
      </c>
    </row>
    <row r="65" spans="1:4" x14ac:dyDescent="0.35">
      <c r="A65" s="24" t="s">
        <v>103</v>
      </c>
      <c r="D65" t="s">
        <v>105</v>
      </c>
    </row>
    <row r="66" spans="1:4" x14ac:dyDescent="0.35">
      <c r="A66" t="s">
        <v>104</v>
      </c>
    </row>
    <row r="67" spans="1:4" x14ac:dyDescent="0.35">
      <c r="A67" t="s">
        <v>106</v>
      </c>
    </row>
  </sheetData>
  <hyperlinks>
    <hyperlink ref="O37" r:id="rId1" xr:uid="{A0DFE9CD-0826-4D5C-B026-41B713DAB75B}"/>
    <hyperlink ref="P20" r:id="rId2" xr:uid="{885FD851-2C8F-410D-9E7B-3BB21916768D}"/>
    <hyperlink ref="O26" r:id="rId3" xr:uid="{98723D77-67B8-4EAD-9E58-98CB6B083ACB}"/>
    <hyperlink ref="A47" r:id="rId4" xr:uid="{7E162700-2274-4E26-BE34-0A866AE4EE6E}"/>
  </hyperlinks>
  <pageMargins left="0.7" right="0.7" top="0.75" bottom="0.75" header="0.3" footer="0.3"/>
  <pageSetup paperSize="9" orientation="portrait" horizontalDpi="30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Tabor, Bruce (Data61, Eveleigh)</dc:creator>
  <cp:lastModifiedBy>Tabor, Bruce (Data61, Eveleigh)</cp:lastModifiedBy>
  <dcterms:created xsi:type="dcterms:W3CDTF">2022-12-15T04:54:19Z</dcterms:created>
  <dcterms:modified xsi:type="dcterms:W3CDTF">2023-05-25T03:37:28Z</dcterms:modified>
</cp:coreProperties>
</file>