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f1cb54321a0586/Desktop/UOP/Sem 2/BUSI 226_Financial Statement Analysis/Project report/Final Files/"/>
    </mc:Choice>
  </mc:AlternateContent>
  <xr:revisionPtr revIDLastSave="63" documentId="13_ncr:1_{67E5D5C1-DFD4-4622-9919-11E220EB0C0A}" xr6:coauthVersionLast="47" xr6:coauthVersionMax="47" xr10:uidLastSave="{19E916F2-9754-4E5C-8560-0DD23EAB76A2}"/>
  <bookViews>
    <workbookView xWindow="-108" yWindow="-108" windowWidth="23256" windowHeight="13896" tabRatio="955" firstSheet="1" activeTab="1" xr2:uid="{083FC480-6C1D-4CCB-B9BC-92903F20861B}"/>
  </bookViews>
  <sheets>
    <sheet name="Ratio Dump (2)" sheetId="20" state="hidden" r:id="rId1"/>
    <sheet name="Ratio Analysis Summary" sheetId="19" r:id="rId2"/>
    <sheet name="Ratio Workings" sheetId="3" r:id="rId3"/>
    <sheet name="Z-score" sheetId="21" r:id="rId4"/>
    <sheet name="Ratio Dumpa" sheetId="15" state="hidden" r:id="rId5"/>
    <sheet name="Forecast" sheetId="23" r:id="rId6"/>
    <sheet name="Valuation" sheetId="8" r:id="rId7"/>
    <sheet name="WACC" sheetId="10" r:id="rId8"/>
    <sheet name="WACCA" sheetId="18" state="hidden" r:id="rId9"/>
    <sheet name="Financials&gt;&gt;" sheetId="22" r:id="rId10"/>
    <sheet name="SF_BS" sheetId="1" r:id="rId11"/>
    <sheet name="SF_P&amp;L" sheetId="2" r:id="rId12"/>
    <sheet name="SF_CF" sheetId="6" r:id="rId13"/>
    <sheet name="Adobe_BS" sheetId="13" r:id="rId14"/>
    <sheet name="Adobe_PL" sheetId="12" r:id="rId15"/>
    <sheet name="Adobe_CF" sheetId="14" r:id="rId16"/>
    <sheet name="Ratio category" sheetId="5" state="hidden" r:id="rId17"/>
    <sheet name="SS" sheetId="7" r:id="rId18"/>
    <sheet name="Ratio categoryA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3" l="1"/>
  <c r="C80" i="3"/>
  <c r="B80" i="3"/>
  <c r="B79" i="3"/>
  <c r="K10" i="3"/>
  <c r="J10" i="3"/>
  <c r="I10" i="3"/>
  <c r="K9" i="3"/>
  <c r="J9" i="3"/>
  <c r="I9" i="3"/>
  <c r="K8" i="3"/>
  <c r="J8" i="3"/>
  <c r="I8" i="3"/>
  <c r="C16" i="23"/>
  <c r="F4" i="2"/>
  <c r="F5" i="2"/>
  <c r="H24" i="8"/>
  <c r="H11" i="8"/>
  <c r="I11" i="8"/>
  <c r="B33" i="23"/>
  <c r="B38" i="3"/>
  <c r="E15" i="3"/>
  <c r="E37" i="3" s="1"/>
  <c r="B37" i="3"/>
  <c r="C15" i="3"/>
  <c r="C37" i="3" s="1"/>
  <c r="D28" i="23"/>
  <c r="B15" i="3"/>
  <c r="J24" i="23"/>
  <c r="H24" i="23"/>
  <c r="F24" i="23"/>
  <c r="D24" i="23"/>
  <c r="B24" i="23"/>
  <c r="J16" i="23"/>
  <c r="H16" i="23"/>
  <c r="F16" i="23"/>
  <c r="D16" i="23"/>
  <c r="B16" i="23"/>
  <c r="J11" i="8" l="1"/>
  <c r="K11" i="8" s="1"/>
  <c r="H12" i="8"/>
  <c r="H7" i="8"/>
  <c r="N26" i="23"/>
  <c r="I24" i="8"/>
  <c r="I7" i="8"/>
  <c r="J7" i="8" s="1"/>
  <c r="K7" i="8" s="1"/>
  <c r="L7" i="8" s="1"/>
  <c r="L11" i="8" l="1"/>
  <c r="M11" i="8"/>
  <c r="E64" i="23" l="1"/>
  <c r="E60" i="23"/>
  <c r="E56" i="23"/>
  <c r="D54" i="23"/>
  <c r="C64" i="23"/>
  <c r="C60" i="23"/>
  <c r="C56" i="23"/>
  <c r="B54" i="23"/>
  <c r="P26" i="23"/>
  <c r="B66" i="23" s="1"/>
  <c r="E121" i="3"/>
  <c r="E123" i="3" s="1"/>
  <c r="C121" i="3"/>
  <c r="C123" i="3" s="1"/>
  <c r="B121" i="3"/>
  <c r="B123" i="3" s="1"/>
  <c r="E48" i="3"/>
  <c r="E38" i="3"/>
  <c r="E49" i="3" s="1"/>
  <c r="C20" i="23"/>
  <c r="E20" i="23"/>
  <c r="D26" i="8"/>
  <c r="D29" i="8" s="1"/>
  <c r="D20" i="8"/>
  <c r="D24" i="8" s="1"/>
  <c r="D14" i="8"/>
  <c r="D17" i="8" s="1"/>
  <c r="D11" i="8"/>
  <c r="D9" i="8"/>
  <c r="D12" i="8" s="1"/>
  <c r="D8" i="8"/>
  <c r="A2" i="21"/>
  <c r="A3" i="21"/>
  <c r="A2" i="8"/>
  <c r="A3" i="8"/>
  <c r="A2" i="10"/>
  <c r="A3" i="10"/>
  <c r="A2" i="23"/>
  <c r="A3" i="23"/>
  <c r="A2" i="3"/>
  <c r="A3" i="3"/>
  <c r="A1" i="21"/>
  <c r="A1" i="8"/>
  <c r="A1" i="10"/>
  <c r="A1" i="23"/>
  <c r="A1" i="3"/>
  <c r="E101" i="3"/>
  <c r="E100" i="3"/>
  <c r="E102" i="3" s="1"/>
  <c r="E86" i="3"/>
  <c r="E85" i="3"/>
  <c r="E87" i="3" s="1"/>
  <c r="E16" i="3"/>
  <c r="C7" i="23"/>
  <c r="E7" i="23"/>
  <c r="G7" i="23"/>
  <c r="I7" i="23"/>
  <c r="O7" i="23"/>
  <c r="C10" i="23"/>
  <c r="E10" i="23"/>
  <c r="G10" i="23"/>
  <c r="I10" i="23"/>
  <c r="K10" i="23"/>
  <c r="C12" i="23"/>
  <c r="E12" i="23"/>
  <c r="G12" i="23"/>
  <c r="I12" i="23"/>
  <c r="K12" i="23"/>
  <c r="C14" i="23"/>
  <c r="E14" i="23"/>
  <c r="G14" i="23"/>
  <c r="I14" i="23"/>
  <c r="K14" i="23"/>
  <c r="E16" i="23"/>
  <c r="G16" i="23"/>
  <c r="I16" i="23"/>
  <c r="K16" i="23"/>
  <c r="C18" i="23"/>
  <c r="E18" i="23"/>
  <c r="G18" i="23"/>
  <c r="I18" i="23"/>
  <c r="K18" i="23"/>
  <c r="G20" i="23"/>
  <c r="I20" i="23"/>
  <c r="K20" i="23"/>
  <c r="N22" i="23"/>
  <c r="C24" i="23"/>
  <c r="E24" i="23"/>
  <c r="G24" i="23"/>
  <c r="I24" i="23"/>
  <c r="K24" i="23"/>
  <c r="B28" i="23"/>
  <c r="C28" i="23" s="1"/>
  <c r="E28" i="23"/>
  <c r="F28" i="23"/>
  <c r="G28" i="23" s="1"/>
  <c r="H28" i="23"/>
  <c r="I28" i="23" s="1"/>
  <c r="J28" i="23"/>
  <c r="K28" i="23" s="1"/>
  <c r="E50" i="3" l="1"/>
  <c r="C33" i="23"/>
  <c r="C35" i="23" s="1"/>
  <c r="C37" i="23" s="1"/>
  <c r="H9" i="8"/>
  <c r="D64" i="23"/>
  <c r="D60" i="23"/>
  <c r="D56" i="23"/>
  <c r="P16" i="23"/>
  <c r="N18" i="23"/>
  <c r="O18" i="23"/>
  <c r="P20" i="23"/>
  <c r="D58" i="23"/>
  <c r="D62" i="23" s="1"/>
  <c r="B43" i="23"/>
  <c r="O20" i="23"/>
  <c r="O14" i="23"/>
  <c r="B56" i="23"/>
  <c r="B58" i="23" s="1"/>
  <c r="B39" i="23"/>
  <c r="N7" i="23"/>
  <c r="B35" i="23"/>
  <c r="B37" i="23" s="1"/>
  <c r="O16" i="23"/>
  <c r="B60" i="23"/>
  <c r="B64" i="23"/>
  <c r="O10" i="23"/>
  <c r="N14" i="23"/>
  <c r="M35" i="23"/>
  <c r="D66" i="23" s="1"/>
  <c r="O12" i="23"/>
  <c r="N10" i="23"/>
  <c r="N12" i="23"/>
  <c r="N16" i="23"/>
  <c r="N20" i="23"/>
  <c r="P12" i="23"/>
  <c r="E39" i="3"/>
  <c r="E13" i="19" s="1"/>
  <c r="D16" i="8"/>
  <c r="D23" i="8"/>
  <c r="D28" i="8" s="1"/>
  <c r="P18" i="23"/>
  <c r="P10" i="23"/>
  <c r="E17" i="3"/>
  <c r="E144" i="3" s="1"/>
  <c r="P14" i="23"/>
  <c r="E27" i="19"/>
  <c r="E23" i="19"/>
  <c r="E20" i="19"/>
  <c r="E15" i="19"/>
  <c r="C15" i="10"/>
  <c r="C21" i="10" s="1"/>
  <c r="C10" i="10"/>
  <c r="H21" i="21"/>
  <c r="H19" i="21"/>
  <c r="H18" i="21"/>
  <c r="H12" i="21"/>
  <c r="H10" i="21"/>
  <c r="H13" i="21" s="1"/>
  <c r="I13" i="21" s="1"/>
  <c r="H9" i="21"/>
  <c r="I10" i="21" s="1"/>
  <c r="E162" i="3"/>
  <c r="E152" i="3"/>
  <c r="E147" i="3"/>
  <c r="F147" i="3"/>
  <c r="E148" i="3"/>
  <c r="F148" i="3"/>
  <c r="E116" i="3"/>
  <c r="H15" i="21" s="1"/>
  <c r="E117" i="3"/>
  <c r="E118" i="3"/>
  <c r="E26" i="19" s="1"/>
  <c r="E111" i="3"/>
  <c r="E107" i="3"/>
  <c r="E112" i="3" s="1"/>
  <c r="E113" i="3" s="1"/>
  <c r="E25" i="19" s="1"/>
  <c r="E106" i="3"/>
  <c r="E96" i="3"/>
  <c r="E91" i="3"/>
  <c r="E90" i="3"/>
  <c r="E92" i="3" s="1"/>
  <c r="E21" i="19" s="1"/>
  <c r="E80" i="3"/>
  <c r="E79" i="3"/>
  <c r="E81" i="3" s="1"/>
  <c r="E19" i="19" s="1"/>
  <c r="C75" i="3"/>
  <c r="B75" i="3"/>
  <c r="C73" i="3"/>
  <c r="B73" i="3"/>
  <c r="E64" i="3"/>
  <c r="E63" i="3"/>
  <c r="E65" i="3" s="1"/>
  <c r="E54" i="3"/>
  <c r="E140" i="3"/>
  <c r="E21" i="3"/>
  <c r="E141" i="3" s="1"/>
  <c r="E53" i="3" s="1"/>
  <c r="E20" i="3"/>
  <c r="E28" i="3"/>
  <c r="E26" i="3"/>
  <c r="E127" i="3" s="1"/>
  <c r="E135" i="3" s="1"/>
  <c r="E11" i="3"/>
  <c r="E43" i="3" s="1"/>
  <c r="E10" i="3"/>
  <c r="E32" i="3"/>
  <c r="E25" i="3" s="1"/>
  <c r="E33" i="3"/>
  <c r="E44" i="3" s="1"/>
  <c r="I31" i="15" s="1"/>
  <c r="E126" i="3" s="1"/>
  <c r="E34" i="3"/>
  <c r="E12" i="19" s="1"/>
  <c r="E22" i="21"/>
  <c r="B22" i="21"/>
  <c r="E21" i="21"/>
  <c r="F22" i="21" s="1"/>
  <c r="B21" i="21"/>
  <c r="E19" i="21"/>
  <c r="B19" i="21"/>
  <c r="E18" i="21"/>
  <c r="B18" i="21"/>
  <c r="E16" i="21"/>
  <c r="B16" i="21"/>
  <c r="E15" i="21"/>
  <c r="B15" i="21"/>
  <c r="C16" i="21" s="1"/>
  <c r="E13" i="21"/>
  <c r="B13" i="21"/>
  <c r="E12" i="21"/>
  <c r="B12" i="21"/>
  <c r="E10" i="21"/>
  <c r="B10" i="21"/>
  <c r="E9" i="21"/>
  <c r="B9" i="21"/>
  <c r="D27" i="19"/>
  <c r="C27" i="19"/>
  <c r="B183" i="20"/>
  <c r="C182" i="20"/>
  <c r="B182" i="20"/>
  <c r="B180" i="20"/>
  <c r="C179" i="20"/>
  <c r="B179" i="20"/>
  <c r="C178" i="20"/>
  <c r="C180" i="20" s="1"/>
  <c r="B178" i="20"/>
  <c r="E173" i="20"/>
  <c r="F173" i="20" s="1"/>
  <c r="C173" i="20"/>
  <c r="B173" i="20"/>
  <c r="E172" i="20"/>
  <c r="B172" i="20"/>
  <c r="F170" i="20"/>
  <c r="E170" i="20"/>
  <c r="B170" i="20"/>
  <c r="E169" i="20"/>
  <c r="B169" i="20"/>
  <c r="C170" i="20" s="1"/>
  <c r="E167" i="20"/>
  <c r="F167" i="20" s="1"/>
  <c r="C167" i="20"/>
  <c r="B167" i="20"/>
  <c r="E166" i="20"/>
  <c r="B166" i="20"/>
  <c r="F164" i="20"/>
  <c r="E164" i="20"/>
  <c r="B164" i="20"/>
  <c r="E163" i="20"/>
  <c r="B163" i="20"/>
  <c r="C164" i="20" s="1"/>
  <c r="E161" i="20"/>
  <c r="F161" i="20" s="1"/>
  <c r="C161" i="20"/>
  <c r="D174" i="20" s="1"/>
  <c r="B161" i="20"/>
  <c r="E160" i="20"/>
  <c r="B160" i="20"/>
  <c r="C156" i="20"/>
  <c r="C155" i="20"/>
  <c r="B155" i="20"/>
  <c r="C154" i="20"/>
  <c r="B154" i="20"/>
  <c r="B156" i="20" s="1"/>
  <c r="B151" i="20"/>
  <c r="C150" i="20"/>
  <c r="C151" i="20" s="1"/>
  <c r="B150" i="20"/>
  <c r="C149" i="20"/>
  <c r="B149" i="20"/>
  <c r="C146" i="20"/>
  <c r="C145" i="20"/>
  <c r="B145" i="20"/>
  <c r="C144" i="20"/>
  <c r="B144" i="20"/>
  <c r="B146" i="20" s="1"/>
  <c r="B141" i="20"/>
  <c r="C140" i="20"/>
  <c r="C141" i="20" s="1"/>
  <c r="B140" i="20"/>
  <c r="C139" i="20"/>
  <c r="B139" i="20"/>
  <c r="C136" i="20"/>
  <c r="C135" i="20"/>
  <c r="B135" i="20"/>
  <c r="C134" i="20"/>
  <c r="B134" i="20"/>
  <c r="B136" i="20" s="1"/>
  <c r="C120" i="20"/>
  <c r="B120" i="20"/>
  <c r="C114" i="20"/>
  <c r="B114" i="20"/>
  <c r="C111" i="20"/>
  <c r="B111" i="20"/>
  <c r="B119" i="20" s="1"/>
  <c r="B121" i="20" s="1"/>
  <c r="B129" i="20" s="1"/>
  <c r="D110" i="20"/>
  <c r="C110" i="20"/>
  <c r="B110" i="20"/>
  <c r="D109" i="20"/>
  <c r="D111" i="20" s="1"/>
  <c r="C109" i="20"/>
  <c r="B109" i="20"/>
  <c r="C103" i="20"/>
  <c r="C104" i="20" s="1"/>
  <c r="B103" i="20"/>
  <c r="B104" i="20" s="1"/>
  <c r="C102" i="20"/>
  <c r="B102" i="20"/>
  <c r="C97" i="20"/>
  <c r="B97" i="20"/>
  <c r="C93" i="20"/>
  <c r="C98" i="20" s="1"/>
  <c r="C99" i="20" s="1"/>
  <c r="B93" i="20"/>
  <c r="B98" i="20" s="1"/>
  <c r="B99" i="20" s="1"/>
  <c r="C92" i="20"/>
  <c r="B92" i="20"/>
  <c r="C89" i="20"/>
  <c r="B89" i="20"/>
  <c r="C87" i="20"/>
  <c r="B87" i="20"/>
  <c r="C83" i="20"/>
  <c r="B83" i="20"/>
  <c r="C82" i="20"/>
  <c r="C84" i="20" s="1"/>
  <c r="B82" i="20"/>
  <c r="B84" i="20" s="1"/>
  <c r="C63" i="20"/>
  <c r="B63" i="20"/>
  <c r="C62" i="20"/>
  <c r="C64" i="20" s="1"/>
  <c r="C68" i="20" s="1"/>
  <c r="C69" i="20" s="1"/>
  <c r="B62" i="20"/>
  <c r="B64" i="20" s="1"/>
  <c r="B68" i="20" s="1"/>
  <c r="B69" i="20" s="1"/>
  <c r="C54" i="20"/>
  <c r="C58" i="20" s="1"/>
  <c r="C59" i="20" s="1"/>
  <c r="B54" i="20"/>
  <c r="B58" i="20" s="1"/>
  <c r="B59" i="20" s="1"/>
  <c r="C53" i="20"/>
  <c r="B53" i="20"/>
  <c r="C52" i="20"/>
  <c r="B52" i="20"/>
  <c r="C47" i="20"/>
  <c r="C48" i="20" s="1"/>
  <c r="B47" i="20"/>
  <c r="B48" i="20" s="1"/>
  <c r="C46" i="20"/>
  <c r="B46" i="20"/>
  <c r="C43" i="20"/>
  <c r="B43" i="20"/>
  <c r="C42" i="20"/>
  <c r="B42" i="20"/>
  <c r="C41" i="20"/>
  <c r="B41" i="20"/>
  <c r="C37" i="20"/>
  <c r="C38" i="20" s="1"/>
  <c r="B37" i="20"/>
  <c r="B38" i="20" s="1"/>
  <c r="C36" i="20"/>
  <c r="B36" i="20"/>
  <c r="C29" i="20"/>
  <c r="B29" i="20"/>
  <c r="C28" i="20"/>
  <c r="C30" i="20" s="1"/>
  <c r="B28" i="20"/>
  <c r="B30" i="20" s="1"/>
  <c r="C23" i="20"/>
  <c r="B23" i="20"/>
  <c r="C21" i="20"/>
  <c r="B21" i="20"/>
  <c r="C13" i="20"/>
  <c r="B13" i="20"/>
  <c r="B15" i="20" s="1"/>
  <c r="C9" i="20"/>
  <c r="B9" i="20"/>
  <c r="C8" i="20"/>
  <c r="C10" i="20" s="1"/>
  <c r="B8" i="20"/>
  <c r="B10" i="20" s="1"/>
  <c r="C5" i="20"/>
  <c r="C33" i="20" s="1"/>
  <c r="C4" i="20"/>
  <c r="C14" i="20" s="1"/>
  <c r="C15" i="20" s="1"/>
  <c r="B4" i="20"/>
  <c r="B14" i="20" s="1"/>
  <c r="C3" i="20"/>
  <c r="C20" i="20" s="1"/>
  <c r="B3" i="20"/>
  <c r="B20" i="20" s="1"/>
  <c r="H48" i="18"/>
  <c r="I48" i="18" s="1"/>
  <c r="G47" i="18"/>
  <c r="G49" i="18" s="1"/>
  <c r="G50" i="18" s="1"/>
  <c r="F47" i="18"/>
  <c r="F49" i="18" s="1"/>
  <c r="F50" i="18" s="1"/>
  <c r="E47" i="18"/>
  <c r="E49" i="18" s="1"/>
  <c r="E50" i="18" s="1"/>
  <c r="D47" i="18"/>
  <c r="D49" i="18" s="1"/>
  <c r="D50" i="18" s="1"/>
  <c r="C47" i="18"/>
  <c r="C49" i="18" s="1"/>
  <c r="C50" i="18" s="1"/>
  <c r="G39" i="18"/>
  <c r="G40" i="18" s="1"/>
  <c r="H38" i="18"/>
  <c r="I38" i="18" s="1"/>
  <c r="G37" i="18"/>
  <c r="F37" i="18"/>
  <c r="F39" i="18" s="1"/>
  <c r="F40" i="18" s="1"/>
  <c r="E37" i="18"/>
  <c r="E39" i="18" s="1"/>
  <c r="E40" i="18" s="1"/>
  <c r="D37" i="18"/>
  <c r="D39" i="18" s="1"/>
  <c r="D40" i="18" s="1"/>
  <c r="C37" i="18"/>
  <c r="C39" i="18" s="1"/>
  <c r="F25" i="18"/>
  <c r="F16" i="18" s="1"/>
  <c r="F7" i="18"/>
  <c r="I183" i="15"/>
  <c r="C183" i="15"/>
  <c r="B183" i="15"/>
  <c r="B181" i="15"/>
  <c r="I180" i="15"/>
  <c r="C180" i="15"/>
  <c r="B180" i="15"/>
  <c r="C179" i="15"/>
  <c r="B179" i="15"/>
  <c r="I178" i="15"/>
  <c r="I177" i="15"/>
  <c r="E174" i="15"/>
  <c r="B174" i="15"/>
  <c r="E173" i="15"/>
  <c r="F174" i="15" s="1"/>
  <c r="B173" i="15"/>
  <c r="C174" i="15" s="1"/>
  <c r="E171" i="15"/>
  <c r="F171" i="15" s="1"/>
  <c r="C171" i="15"/>
  <c r="B171" i="15"/>
  <c r="E170" i="15"/>
  <c r="B170" i="15"/>
  <c r="E168" i="15"/>
  <c r="B168" i="15"/>
  <c r="E167" i="15"/>
  <c r="B167" i="15"/>
  <c r="E165" i="15"/>
  <c r="B165" i="15"/>
  <c r="E164" i="15"/>
  <c r="B164" i="15"/>
  <c r="C165" i="15" s="1"/>
  <c r="E162" i="15"/>
  <c r="B162" i="15"/>
  <c r="E161" i="15"/>
  <c r="F162" i="15" s="1"/>
  <c r="B161" i="15"/>
  <c r="C162" i="15" s="1"/>
  <c r="C157" i="15"/>
  <c r="C156" i="15"/>
  <c r="B156" i="15"/>
  <c r="C155" i="15"/>
  <c r="B155" i="15"/>
  <c r="B157" i="15" s="1"/>
  <c r="C151" i="15"/>
  <c r="B151" i="15"/>
  <c r="C150" i="15"/>
  <c r="B150" i="15"/>
  <c r="C146" i="15"/>
  <c r="B146" i="15"/>
  <c r="C145" i="15"/>
  <c r="C147" i="15" s="1"/>
  <c r="B145" i="15"/>
  <c r="C141" i="15"/>
  <c r="B141" i="15"/>
  <c r="C140" i="15"/>
  <c r="C142" i="15" s="1"/>
  <c r="B140" i="15"/>
  <c r="C126" i="15"/>
  <c r="B126" i="15"/>
  <c r="C120" i="15"/>
  <c r="B120" i="15"/>
  <c r="D117" i="15"/>
  <c r="C117" i="15"/>
  <c r="C125" i="15" s="1"/>
  <c r="C127" i="15" s="1"/>
  <c r="C135" i="15" s="1"/>
  <c r="D116" i="15"/>
  <c r="C116" i="15"/>
  <c r="B116" i="15"/>
  <c r="D115" i="15"/>
  <c r="C115" i="15"/>
  <c r="B115" i="15"/>
  <c r="B117" i="15" s="1"/>
  <c r="C109" i="15"/>
  <c r="B109" i="15"/>
  <c r="I108" i="15"/>
  <c r="C108" i="15"/>
  <c r="C110" i="15" s="1"/>
  <c r="B108" i="15"/>
  <c r="I103" i="15"/>
  <c r="I109" i="15" s="1"/>
  <c r="C103" i="15"/>
  <c r="C105" i="15" s="1"/>
  <c r="B103" i="15"/>
  <c r="B105" i="15" s="1"/>
  <c r="B100" i="15"/>
  <c r="B130" i="15" s="1"/>
  <c r="I99" i="15"/>
  <c r="I100" i="15" s="1"/>
  <c r="H99" i="15"/>
  <c r="G99" i="15"/>
  <c r="F99" i="15"/>
  <c r="E99" i="15"/>
  <c r="D99" i="15"/>
  <c r="C99" i="15"/>
  <c r="C104" i="15" s="1"/>
  <c r="B99" i="15"/>
  <c r="B104" i="15" s="1"/>
  <c r="I98" i="15"/>
  <c r="C98" i="15"/>
  <c r="C100" i="15" s="1"/>
  <c r="C130" i="15" s="1"/>
  <c r="B98" i="15"/>
  <c r="C93" i="15"/>
  <c r="C95" i="15" s="1"/>
  <c r="B93" i="15"/>
  <c r="B95" i="15" s="1"/>
  <c r="I89" i="15"/>
  <c r="C89" i="15"/>
  <c r="C90" i="15" s="1"/>
  <c r="B89" i="15"/>
  <c r="B90" i="15" s="1"/>
  <c r="I88" i="15"/>
  <c r="I90" i="15" s="1"/>
  <c r="C88" i="15"/>
  <c r="B88" i="15"/>
  <c r="C67" i="15"/>
  <c r="B67" i="15"/>
  <c r="C66" i="15"/>
  <c r="B66" i="15"/>
  <c r="C57" i="15"/>
  <c r="B57" i="15"/>
  <c r="C56" i="15"/>
  <c r="B56" i="15"/>
  <c r="C51" i="15"/>
  <c r="B51" i="15"/>
  <c r="C50" i="15"/>
  <c r="B50" i="15"/>
  <c r="C46" i="15"/>
  <c r="B46" i="15"/>
  <c r="C45" i="15"/>
  <c r="C47" i="15" s="1"/>
  <c r="B45" i="15"/>
  <c r="C41" i="15"/>
  <c r="B41" i="15"/>
  <c r="C40" i="15"/>
  <c r="C42" i="15" s="1"/>
  <c r="B40" i="15"/>
  <c r="B42" i="15" s="1"/>
  <c r="C36" i="15"/>
  <c r="B36" i="15"/>
  <c r="C35" i="15"/>
  <c r="B35" i="15"/>
  <c r="C31" i="15"/>
  <c r="B31" i="15"/>
  <c r="C30" i="15"/>
  <c r="B30" i="15"/>
  <c r="B32" i="15" s="1"/>
  <c r="C23" i="15"/>
  <c r="B23" i="15"/>
  <c r="C21" i="15"/>
  <c r="B21" i="15"/>
  <c r="C14" i="15"/>
  <c r="C15" i="15" s="1"/>
  <c r="C13" i="15"/>
  <c r="B13" i="15"/>
  <c r="C9" i="15"/>
  <c r="B9" i="15"/>
  <c r="C8" i="15"/>
  <c r="C10" i="15" s="1"/>
  <c r="B8" i="15"/>
  <c r="B10" i="15" s="1"/>
  <c r="C4" i="15"/>
  <c r="B4" i="15"/>
  <c r="B14" i="15" s="1"/>
  <c r="B15" i="15" s="1"/>
  <c r="C3" i="15"/>
  <c r="C20" i="15" s="1"/>
  <c r="B3" i="15"/>
  <c r="B20" i="15" s="1"/>
  <c r="E29" i="3" l="1"/>
  <c r="C43" i="23"/>
  <c r="C39" i="23"/>
  <c r="C41" i="23" s="1"/>
  <c r="E9" i="19"/>
  <c r="B62" i="23"/>
  <c r="I9" i="8"/>
  <c r="I12" i="8" s="1"/>
  <c r="D33" i="23"/>
  <c r="C10" i="21"/>
  <c r="F10" i="21"/>
  <c r="I19" i="21"/>
  <c r="F28" i="18"/>
  <c r="D68" i="23"/>
  <c r="B41" i="23"/>
  <c r="B68" i="23"/>
  <c r="E45" i="23"/>
  <c r="D45" i="23"/>
  <c r="B45" i="23"/>
  <c r="F45" i="23"/>
  <c r="C45" i="23"/>
  <c r="F149" i="3"/>
  <c r="E22" i="3"/>
  <c r="E10" i="19" s="1"/>
  <c r="C22" i="21"/>
  <c r="E55" i="3"/>
  <c r="E16" i="19" s="1"/>
  <c r="F16" i="21"/>
  <c r="B81" i="3"/>
  <c r="C19" i="19" s="1"/>
  <c r="C81" i="3"/>
  <c r="D19" i="19" s="1"/>
  <c r="E149" i="3"/>
  <c r="E17" i="19"/>
  <c r="E69" i="3"/>
  <c r="E70" i="3" s="1"/>
  <c r="E75" i="3" s="1"/>
  <c r="E12" i="3"/>
  <c r="E8" i="19" s="1"/>
  <c r="E108" i="3"/>
  <c r="E24" i="19" s="1"/>
  <c r="C23" i="10"/>
  <c r="F13" i="21"/>
  <c r="H16" i="21"/>
  <c r="H22" i="21" s="1"/>
  <c r="I22" i="21" s="1"/>
  <c r="C13" i="21"/>
  <c r="C19" i="21"/>
  <c r="F19" i="21"/>
  <c r="C76" i="3"/>
  <c r="D18" i="19" s="1"/>
  <c r="E95" i="3"/>
  <c r="E97" i="3" s="1"/>
  <c r="E22" i="19" s="1"/>
  <c r="E158" i="3"/>
  <c r="B76" i="3"/>
  <c r="C18" i="19" s="1"/>
  <c r="E142" i="3"/>
  <c r="E128" i="3"/>
  <c r="E28" i="19" s="1"/>
  <c r="E45" i="3"/>
  <c r="E14" i="19" s="1"/>
  <c r="E27" i="3"/>
  <c r="E11" i="19" s="1"/>
  <c r="B37" i="15"/>
  <c r="C58" i="15"/>
  <c r="C62" i="15" s="1"/>
  <c r="C63" i="15" s="1"/>
  <c r="C152" i="15"/>
  <c r="C168" i="15"/>
  <c r="F168" i="15"/>
  <c r="B52" i="15"/>
  <c r="B68" i="15"/>
  <c r="B72" i="15" s="1"/>
  <c r="B73" i="15" s="1"/>
  <c r="B147" i="15"/>
  <c r="C52" i="15"/>
  <c r="C68" i="15"/>
  <c r="C72" i="15" s="1"/>
  <c r="C73" i="15" s="1"/>
  <c r="I179" i="15"/>
  <c r="C112" i="15"/>
  <c r="F165" i="15"/>
  <c r="G175" i="15" s="1"/>
  <c r="B184" i="15"/>
  <c r="C32" i="15"/>
  <c r="C181" i="15"/>
  <c r="B58" i="15"/>
  <c r="B62" i="15" s="1"/>
  <c r="B63" i="15" s="1"/>
  <c r="B152" i="15"/>
  <c r="C37" i="15"/>
  <c r="B47" i="15"/>
  <c r="B110" i="15"/>
  <c r="B112" i="15" s="1"/>
  <c r="B142" i="15"/>
  <c r="B22" i="20"/>
  <c r="B24" i="20"/>
  <c r="G174" i="20"/>
  <c r="B106" i="20"/>
  <c r="C106" i="20"/>
  <c r="B116" i="20"/>
  <c r="B125" i="20" s="1"/>
  <c r="C22" i="20"/>
  <c r="C24" i="20"/>
  <c r="B17" i="20"/>
  <c r="C17" i="20"/>
  <c r="C119" i="20"/>
  <c r="C121" i="20" s="1"/>
  <c r="C129" i="20" s="1"/>
  <c r="B5" i="20"/>
  <c r="B33" i="20" s="1"/>
  <c r="C94" i="20"/>
  <c r="C124" i="20" s="1"/>
  <c r="B115" i="20"/>
  <c r="B94" i="20"/>
  <c r="B124" i="20" s="1"/>
  <c r="C183" i="20"/>
  <c r="C115" i="20"/>
  <c r="C116" i="20" s="1"/>
  <c r="C125" i="20" s="1"/>
  <c r="C40" i="18"/>
  <c r="H39" i="18"/>
  <c r="I39" i="18" s="1"/>
  <c r="H49" i="18"/>
  <c r="I49" i="18" s="1"/>
  <c r="C62" i="18"/>
  <c r="H50" i="18"/>
  <c r="I50" i="18"/>
  <c r="C61" i="18"/>
  <c r="I181" i="15"/>
  <c r="I184" i="15"/>
  <c r="I110" i="15"/>
  <c r="C17" i="15"/>
  <c r="B24" i="15"/>
  <c r="B22" i="15"/>
  <c r="D175" i="15"/>
  <c r="B17" i="15"/>
  <c r="B125" i="15"/>
  <c r="B127" i="15" s="1"/>
  <c r="B135" i="15" s="1"/>
  <c r="B121" i="15"/>
  <c r="B122" i="15" s="1"/>
  <c r="B131" i="15" s="1"/>
  <c r="B132" i="15" s="1"/>
  <c r="B136" i="15" s="1"/>
  <c r="C24" i="15"/>
  <c r="C22" i="15"/>
  <c r="C121" i="15"/>
  <c r="C122" i="15" s="1"/>
  <c r="C131" i="15" s="1"/>
  <c r="C132" i="15" s="1"/>
  <c r="C136" i="15" s="1"/>
  <c r="C137" i="15" s="1"/>
  <c r="I104" i="15"/>
  <c r="I105" i="15" s="1"/>
  <c r="I30" i="15"/>
  <c r="E134" i="3" s="1"/>
  <c r="E136" i="3" s="1"/>
  <c r="C184" i="15"/>
  <c r="B5" i="15"/>
  <c r="C5" i="15"/>
  <c r="E153" i="3" l="1"/>
  <c r="B47" i="23"/>
  <c r="H10" i="8" s="1"/>
  <c r="J9" i="8"/>
  <c r="J12" i="8" s="1"/>
  <c r="E33" i="23"/>
  <c r="D43" i="23"/>
  <c r="D39" i="23"/>
  <c r="D35" i="23"/>
  <c r="D37" i="23" s="1"/>
  <c r="D41" i="23" s="1"/>
  <c r="C47" i="23"/>
  <c r="I10" i="8" s="1"/>
  <c r="E59" i="3"/>
  <c r="E60" i="3" s="1"/>
  <c r="E73" i="3" s="1"/>
  <c r="E76" i="3" s="1"/>
  <c r="E18" i="19" s="1"/>
  <c r="I17" i="15"/>
  <c r="E131" i="3"/>
  <c r="I16" i="21"/>
  <c r="J23" i="21" s="1"/>
  <c r="G23" i="21"/>
  <c r="D23" i="21"/>
  <c r="I112" i="15"/>
  <c r="B126" i="20"/>
  <c r="B130" i="20" s="1"/>
  <c r="B131" i="20" s="1"/>
  <c r="C126" i="20"/>
  <c r="C130" i="20" s="1"/>
  <c r="C131" i="20" s="1"/>
  <c r="C55" i="18"/>
  <c r="H40" i="18"/>
  <c r="I40" i="18" s="1"/>
  <c r="C56" i="18"/>
  <c r="I32" i="15"/>
  <c r="B137" i="15"/>
  <c r="E157" i="3" l="1"/>
  <c r="E159" i="3" s="1"/>
  <c r="E167" i="3" s="1"/>
  <c r="E154" i="3"/>
  <c r="E163" i="3" s="1"/>
  <c r="E164" i="3" s="1"/>
  <c r="E168" i="3" s="1"/>
  <c r="D47" i="23"/>
  <c r="J10" i="8" s="1"/>
  <c r="H13" i="8"/>
  <c r="K9" i="8"/>
  <c r="K12" i="8" s="1"/>
  <c r="F33" i="23"/>
  <c r="E35" i="23"/>
  <c r="E37" i="23" s="1"/>
  <c r="E39" i="23"/>
  <c r="E43" i="23"/>
  <c r="C86" i="3"/>
  <c r="C85" i="3"/>
  <c r="B86" i="3"/>
  <c r="B85" i="3"/>
  <c r="E169" i="3" l="1"/>
  <c r="E41" i="23"/>
  <c r="E47" i="23" s="1"/>
  <c r="K10" i="8" s="1"/>
  <c r="L9" i="8"/>
  <c r="F43" i="23"/>
  <c r="F39" i="23"/>
  <c r="F35" i="23"/>
  <c r="F37" i="23" s="1"/>
  <c r="F41" i="23" s="1"/>
  <c r="F47" i="23" s="1"/>
  <c r="L10" i="8" s="1"/>
  <c r="B87" i="3"/>
  <c r="C20" i="19" s="1"/>
  <c r="C87" i="3"/>
  <c r="D20" i="19" s="1"/>
  <c r="M10" i="8" l="1"/>
  <c r="L12" i="8"/>
  <c r="M9" i="8"/>
  <c r="M12" i="8" s="1"/>
  <c r="B15" i="10"/>
  <c r="B18" i="10"/>
  <c r="B20" i="10"/>
  <c r="B21" i="10" s="1"/>
  <c r="B10" i="10"/>
  <c r="C20" i="8"/>
  <c r="C24" i="8" s="1"/>
  <c r="B20" i="8"/>
  <c r="B24" i="8" s="1"/>
  <c r="C26" i="8"/>
  <c r="C29" i="8" s="1"/>
  <c r="B26" i="8"/>
  <c r="B29" i="8" s="1"/>
  <c r="C14" i="8"/>
  <c r="B14" i="8"/>
  <c r="C9" i="8"/>
  <c r="C12" i="8" s="1"/>
  <c r="B9" i="8"/>
  <c r="B12" i="8" s="1"/>
  <c r="C8" i="8"/>
  <c r="C11" i="8" s="1"/>
  <c r="B8" i="8"/>
  <c r="B11" i="8" s="1"/>
  <c r="C28" i="3"/>
  <c r="B28" i="3"/>
  <c r="B23" i="10" l="1"/>
  <c r="P7" i="8" s="1"/>
  <c r="B23" i="8"/>
  <c r="B28" i="8" s="1"/>
  <c r="C23" i="8"/>
  <c r="C28" i="8" s="1"/>
  <c r="C17" i="8"/>
  <c r="B17" i="8"/>
  <c r="C16" i="8"/>
  <c r="B16" i="8"/>
  <c r="C96" i="3"/>
  <c r="B96" i="3"/>
  <c r="C95" i="3"/>
  <c r="B95" i="3"/>
  <c r="C91" i="3"/>
  <c r="B91" i="3"/>
  <c r="C90" i="3"/>
  <c r="B90" i="3"/>
  <c r="C112" i="3"/>
  <c r="B112" i="3"/>
  <c r="C111" i="3"/>
  <c r="B111" i="3"/>
  <c r="C107" i="3"/>
  <c r="B107" i="3"/>
  <c r="C106" i="3"/>
  <c r="B106" i="3"/>
  <c r="C158" i="3"/>
  <c r="B158" i="3"/>
  <c r="C152" i="3"/>
  <c r="B152" i="3"/>
  <c r="D148" i="3"/>
  <c r="D147" i="3"/>
  <c r="C148" i="3"/>
  <c r="B148" i="3"/>
  <c r="C147" i="3"/>
  <c r="B147" i="3"/>
  <c r="C16" i="3"/>
  <c r="B16" i="3"/>
  <c r="C48" i="3"/>
  <c r="B48" i="3"/>
  <c r="C38" i="3"/>
  <c r="C49" i="3" s="1"/>
  <c r="B49" i="3"/>
  <c r="C116" i="3"/>
  <c r="C118" i="3" s="1"/>
  <c r="D26" i="19" s="1"/>
  <c r="B116" i="3"/>
  <c r="B118" i="3" s="1"/>
  <c r="C26" i="19" s="1"/>
  <c r="C101" i="3"/>
  <c r="B101" i="3"/>
  <c r="C100" i="3"/>
  <c r="B100" i="3"/>
  <c r="C64" i="3"/>
  <c r="B64" i="3"/>
  <c r="C63" i="3"/>
  <c r="B63" i="3"/>
  <c r="C54" i="3"/>
  <c r="B54" i="3"/>
  <c r="C53" i="3"/>
  <c r="B53" i="3"/>
  <c r="C141" i="3"/>
  <c r="B141" i="3"/>
  <c r="C140" i="3"/>
  <c r="B140" i="3"/>
  <c r="C21" i="3"/>
  <c r="B21" i="3"/>
  <c r="C20" i="3"/>
  <c r="B20" i="3"/>
  <c r="C135" i="3"/>
  <c r="B135" i="3"/>
  <c r="C134" i="3"/>
  <c r="B134" i="3"/>
  <c r="C127" i="3"/>
  <c r="B127" i="3"/>
  <c r="C126" i="3"/>
  <c r="B126" i="3"/>
  <c r="C43" i="3"/>
  <c r="B43" i="3"/>
  <c r="C11" i="3"/>
  <c r="B11" i="3"/>
  <c r="C10" i="3"/>
  <c r="B10" i="3"/>
  <c r="C32" i="3"/>
  <c r="B32" i="3"/>
  <c r="I16" i="8" l="1"/>
  <c r="I17" i="8" s="1"/>
  <c r="H16" i="8"/>
  <c r="H17" i="8" s="1"/>
  <c r="H14" i="8"/>
  <c r="J16" i="8"/>
  <c r="J17" i="8" s="1"/>
  <c r="K16" i="8"/>
  <c r="K17" i="8" s="1"/>
  <c r="L16" i="8"/>
  <c r="L17" i="8" s="1"/>
  <c r="M16" i="8"/>
  <c r="M17" i="8" s="1"/>
  <c r="B113" i="3"/>
  <c r="C25" i="19" s="1"/>
  <c r="B39" i="3"/>
  <c r="C113" i="3"/>
  <c r="D25" i="19" s="1"/>
  <c r="B92" i="3"/>
  <c r="C21" i="19" s="1"/>
  <c r="C92" i="3"/>
  <c r="D21" i="19" s="1"/>
  <c r="B108" i="3"/>
  <c r="C24" i="19" s="1"/>
  <c r="B97" i="3"/>
  <c r="C22" i="19" s="1"/>
  <c r="C108" i="3"/>
  <c r="D24" i="19" s="1"/>
  <c r="C97" i="3"/>
  <c r="D22" i="19" s="1"/>
  <c r="C22" i="3"/>
  <c r="D10" i="19" s="1"/>
  <c r="C136" i="3"/>
  <c r="C55" i="3"/>
  <c r="C149" i="3"/>
  <c r="B128" i="3"/>
  <c r="C28" i="19" s="1"/>
  <c r="B142" i="3"/>
  <c r="B102" i="3"/>
  <c r="C23" i="19" s="1"/>
  <c r="B17" i="3"/>
  <c r="C9" i="19" s="1"/>
  <c r="C128" i="3"/>
  <c r="D28" i="19" s="1"/>
  <c r="C142" i="3"/>
  <c r="C17" i="3"/>
  <c r="D9" i="19" s="1"/>
  <c r="B22" i="3"/>
  <c r="C10" i="19" s="1"/>
  <c r="B65" i="3"/>
  <c r="B50" i="3"/>
  <c r="C15" i="19" s="1"/>
  <c r="C39" i="3"/>
  <c r="C102" i="3"/>
  <c r="D23" i="19" s="1"/>
  <c r="D149" i="3"/>
  <c r="B55" i="3"/>
  <c r="B149" i="3"/>
  <c r="C65" i="3"/>
  <c r="C50" i="3"/>
  <c r="D15" i="19" s="1"/>
  <c r="B136" i="3"/>
  <c r="I20" i="8" l="1"/>
  <c r="C69" i="3"/>
  <c r="C70" i="3" s="1"/>
  <c r="D17" i="19"/>
  <c r="B59" i="3"/>
  <c r="B60" i="3" s="1"/>
  <c r="C16" i="19"/>
  <c r="B162" i="3"/>
  <c r="C13" i="19"/>
  <c r="C162" i="3"/>
  <c r="D13" i="19"/>
  <c r="C59" i="3"/>
  <c r="C60" i="3" s="1"/>
  <c r="D16" i="19"/>
  <c r="B69" i="3"/>
  <c r="B70" i="3" s="1"/>
  <c r="C17" i="19"/>
  <c r="B144" i="3"/>
  <c r="C144" i="3"/>
  <c r="B157" i="3"/>
  <c r="B159" i="3" s="1"/>
  <c r="B167" i="3" s="1"/>
  <c r="C157" i="3"/>
  <c r="C159" i="3" s="1"/>
  <c r="C167" i="3" s="1"/>
  <c r="B153" i="3"/>
  <c r="C153" i="3"/>
  <c r="C154" i="3" s="1"/>
  <c r="C163" i="3" s="1"/>
  <c r="C26" i="3"/>
  <c r="B26" i="3"/>
  <c r="C25" i="3"/>
  <c r="C29" i="3" s="1"/>
  <c r="B25" i="3"/>
  <c r="B29" i="3" s="1"/>
  <c r="C12" i="3"/>
  <c r="D8" i="19" s="1"/>
  <c r="B12" i="3"/>
  <c r="C8" i="19" s="1"/>
  <c r="C33" i="3"/>
  <c r="C34" i="3" s="1"/>
  <c r="B33" i="3"/>
  <c r="B154" i="3" l="1"/>
  <c r="B163" i="3" s="1"/>
  <c r="H21" i="8"/>
  <c r="I21" i="8" s="1"/>
  <c r="B164" i="3"/>
  <c r="B168" i="3" s="1"/>
  <c r="B169" i="3" s="1"/>
  <c r="C164" i="3"/>
  <c r="C168" i="3" s="1"/>
  <c r="C169" i="3" s="1"/>
  <c r="C131" i="3"/>
  <c r="D12" i="19"/>
  <c r="C27" i="3"/>
  <c r="D11" i="19" s="1"/>
  <c r="B34" i="3"/>
  <c r="B44" i="3"/>
  <c r="B45" i="3" s="1"/>
  <c r="B27" i="3"/>
  <c r="C11" i="19" s="1"/>
  <c r="C44" i="3"/>
  <c r="C45" i="3" s="1"/>
  <c r="D14" i="19" l="1"/>
  <c r="C14" i="19"/>
  <c r="B131" i="3"/>
  <c r="C12" i="19"/>
  <c r="K13" i="8" l="1"/>
  <c r="K14" i="8" s="1"/>
  <c r="M13" i="8"/>
  <c r="M14" i="8" s="1"/>
  <c r="I23" i="8"/>
  <c r="I25" i="8" s="1"/>
  <c r="L13" i="8"/>
  <c r="L14" i="8" s="1"/>
  <c r="I13" i="8"/>
  <c r="I14" i="8" s="1"/>
  <c r="J13" i="8"/>
  <c r="J14" i="8" s="1"/>
  <c r="H20" i="8" l="1"/>
  <c r="H23" i="8" l="1"/>
  <c r="H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Typpo</author>
  </authors>
  <commentList>
    <comment ref="F13" authorId="0" shapeId="0" xr:uid="{F6F2884C-3156-4F0A-B332-B19E59A2C574}">
      <text>
        <r>
          <rPr>
            <b/>
            <sz val="9"/>
            <color indexed="81"/>
            <rFont val="Tahoma"/>
            <family val="2"/>
          </rPr>
          <t>Eric Typpo:</t>
        </r>
        <r>
          <rPr>
            <sz val="9"/>
            <color indexed="81"/>
            <rFont val="Tahoma"/>
            <family val="2"/>
          </rPr>
          <t xml:space="preserve">
Per notes
</t>
        </r>
      </text>
    </comment>
    <comment ref="F14" authorId="0" shapeId="0" xr:uid="{00996EC2-DD36-4DB3-86DE-48C541339A76}">
      <text>
        <r>
          <rPr>
            <b/>
            <sz val="9"/>
            <color indexed="81"/>
            <rFont val="Tahoma"/>
            <family val="2"/>
          </rPr>
          <t>Eric Typpo:</t>
        </r>
        <r>
          <rPr>
            <sz val="9"/>
            <color indexed="81"/>
            <rFont val="Tahoma"/>
            <family val="2"/>
          </rPr>
          <t xml:space="preserve">
per fair value disclosure pg. 68</t>
        </r>
      </text>
    </comment>
    <comment ref="F20" authorId="0" shapeId="0" xr:uid="{4A5B9FB2-8F49-4A9D-B17E-147869A7CA9E}">
      <text>
        <r>
          <rPr>
            <b/>
            <sz val="9"/>
            <color indexed="81"/>
            <rFont val="Tahoma"/>
            <family val="2"/>
          </rPr>
          <t>Eric Typpo:</t>
        </r>
        <r>
          <rPr>
            <sz val="9"/>
            <color indexed="81"/>
            <rFont val="Tahoma"/>
            <family val="2"/>
          </rPr>
          <t xml:space="preserve">
Fair value disclosure pg. 68)
</t>
        </r>
      </text>
    </comment>
    <comment ref="F24" authorId="0" shapeId="0" xr:uid="{867A6D6C-7672-4F93-95D4-7EF688B92141}">
      <text>
        <r>
          <rPr>
            <b/>
            <sz val="9"/>
            <color indexed="81"/>
            <rFont val="Tahoma"/>
            <family val="2"/>
          </rPr>
          <t>Eric Typpo:</t>
        </r>
        <r>
          <rPr>
            <sz val="9"/>
            <color indexed="81"/>
            <rFont val="Tahoma"/>
            <family val="2"/>
          </rPr>
          <t xml:space="preserve">
Shares outstanding per balance sheet
</t>
        </r>
      </text>
    </comment>
  </commentList>
</comments>
</file>

<file path=xl/sharedStrings.xml><?xml version="1.0" encoding="utf-8"?>
<sst xmlns="http://schemas.openxmlformats.org/spreadsheetml/2006/main" count="1121" uniqueCount="466">
  <si>
    <t>Consolidated Balance Sheets - USD ($) $ in Millions</t>
  </si>
  <si>
    <t>Jan. 31, 2024</t>
  </si>
  <si>
    <t>Jan. 31, 2023</t>
  </si>
  <si>
    <t>Current assets:</t>
  </si>
  <si>
    <t> </t>
  </si>
  <si>
    <t>Cash and cash equivalents</t>
  </si>
  <si>
    <t>Marketable securities</t>
  </si>
  <si>
    <t>Accounts receivable, net</t>
  </si>
  <si>
    <t>Costs capitalized to obtain revenue contracts, net</t>
  </si>
  <si>
    <t>Prepaid expenses and other current assets</t>
  </si>
  <si>
    <t>Total current assets</t>
  </si>
  <si>
    <t>Property and equipment, net</t>
  </si>
  <si>
    <t>Operating lease right-of-use assets, net</t>
  </si>
  <si>
    <t>Noncurrent costs capitalized to obtain revenue contracts, net</t>
  </si>
  <si>
    <t>Strategic investments</t>
  </si>
  <si>
    <t>Goodwill</t>
  </si>
  <si>
    <t>Intangible assets acquired through business combinations, net</t>
  </si>
  <si>
    <t>Deferred tax assets and other assets, net</t>
  </si>
  <si>
    <t>Total assets</t>
  </si>
  <si>
    <t>Current liabilities:</t>
  </si>
  <si>
    <t>Accounts payable, accrued expenses and other liabilities</t>
  </si>
  <si>
    <t>Operating lease liabilities, current</t>
  </si>
  <si>
    <t>Unearned revenue</t>
  </si>
  <si>
    <t>Debt, current</t>
  </si>
  <si>
    <t>Total current liabilities</t>
  </si>
  <si>
    <t>Noncurrent debt</t>
  </si>
  <si>
    <t>Noncurrent operating lease liabilities</t>
  </si>
  <si>
    <t>Other noncurrent liabilities</t>
  </si>
  <si>
    <t>Total liabilities</t>
  </si>
  <si>
    <t>Commitments and contingencies (See Notes 6 and 14)</t>
  </si>
  <si>
    <t xml:space="preserve"> </t>
  </si>
  <si>
    <t>Stockholders’ equity:</t>
  </si>
  <si>
    <t>Preferred stock, $0.001 par value; 5 shares authorized and none issued and outstanding</t>
  </si>
  <si>
    <t>Common stock, $0.001 par value; 1,600 shares authorized, 1,035 and 1,009 shares issued as of January 31, 2024 and 2023, respectively, and 971 and 981 shares outstanding as of January 31, 2024 and 2023, respectively</t>
  </si>
  <si>
    <t>Treasury stock, at cost</t>
  </si>
  <si>
    <t>Additional paid-in capital</t>
  </si>
  <si>
    <t>Accumulated other comprehensive loss</t>
  </si>
  <si>
    <t>Retained earnings</t>
  </si>
  <si>
    <t>Total stockholders’ equity</t>
  </si>
  <si>
    <t>Total liabilities and stockholders’ equity</t>
  </si>
  <si>
    <t>Consolidated Statements of Operations - USD ($) shares in Millions, $ in Millions</t>
  </si>
  <si>
    <t>12 Months Ended</t>
  </si>
  <si>
    <t>Jan. 31, 2022</t>
  </si>
  <si>
    <t>Revenues:</t>
  </si>
  <si>
    <t>Total revenues</t>
  </si>
  <si>
    <t>Cost of revenues:</t>
  </si>
  <si>
    <t>Total cost of revenues</t>
  </si>
  <si>
    <t>[1],[2]</t>
  </si>
  <si>
    <t>Gross profit</t>
  </si>
  <si>
    <t>Operating expenses:</t>
  </si>
  <si>
    <t>Research and development</t>
  </si>
  <si>
    <t>Marketing and sales</t>
  </si>
  <si>
    <t>General and administrative</t>
  </si>
  <si>
    <t>Restructuring</t>
  </si>
  <si>
    <t>Total operating expenses</t>
  </si>
  <si>
    <t>Income from operations</t>
  </si>
  <si>
    <t>Gains (losses) on strategic investments, net</t>
  </si>
  <si>
    <t>Other income (expense)</t>
  </si>
  <si>
    <t>Income before provision for income taxes</t>
  </si>
  <si>
    <t>Provision for income taxes</t>
  </si>
  <si>
    <t>Net income</t>
  </si>
  <si>
    <t>Basic net income per share (in dollars per share)</t>
  </si>
  <si>
    <t>Diluted net income per share (in dollars per share)</t>
  </si>
  <si>
    <t>Shares used in computing basic net income per share (in shares)</t>
  </si>
  <si>
    <t>Shares used in computing diluted net income per share (in shares)</t>
  </si>
  <si>
    <t>Subscription and support</t>
  </si>
  <si>
    <t>Professional services and other</t>
  </si>
  <si>
    <t xml:space="preserve">[1]Amounts include amortization of intangible assets acquired through business combinations, as follows: Fiscal Year Ended January 31, 2024 2023 2022 Cost of revenues $ 978 $ 1,035 $ 897 Marketing and sales 891 916 727 Fiscal Year Ended January 31, 2024 2023 2022 Cost of revenues $ 431 $ 499 $ 386 Research and development 972 1,136 918 Marketing and sales 1,062 1,256 1,104 General and administrative 299 368 371 Restructuring 23 20 0 </t>
  </si>
  <si>
    <t>Consolidated Statements of Cash Flows - USD ($) $ in Millions</t>
  </si>
  <si>
    <t>Operating activities:</t>
  </si>
  <si>
    <t>Adjustments to reconcile net income to net cash provided by operating activities:</t>
  </si>
  <si>
    <t>Depreciation and amortization</t>
  </si>
  <si>
    <t>Amortization of costs capitalized to obtain revenue contracts, net</t>
  </si>
  <si>
    <t>Stock-based compensation expense</t>
  </si>
  <si>
    <t>(Gains) losses on strategic investments, net</t>
  </si>
  <si>
    <t>Changes in assets and liabilities, net of business combinations:</t>
  </si>
  <si>
    <t>Prepaid expenses and other current assets and other assets</t>
  </si>
  <si>
    <t>Accounts payable and accrued expenses and other liabilities</t>
  </si>
  <si>
    <t>Operating lease liabilities</t>
  </si>
  <si>
    <t>Net cash provided by operating activities</t>
  </si>
  <si>
    <t>Investing activities:</t>
  </si>
  <si>
    <t>Business combinations, net of cash acquired</t>
  </si>
  <si>
    <t>Purchases of strategic investments</t>
  </si>
  <si>
    <t>Sales of strategic investments</t>
  </si>
  <si>
    <t>Purchases of marketable securities</t>
  </si>
  <si>
    <t>Sales of marketable securities</t>
  </si>
  <si>
    <t>Maturities of marketable securities</t>
  </si>
  <si>
    <t>Capital expenditures</t>
  </si>
  <si>
    <t>Net cash used in investing activities</t>
  </si>
  <si>
    <t>Financing activities:</t>
  </si>
  <si>
    <t>Proceeds from issuance of debt, net of issuance costs</t>
  </si>
  <si>
    <t>Repayments of Slack Convertible Notes, net of capped call proceeds</t>
  </si>
  <si>
    <t>Repurchases of common stock</t>
  </si>
  <si>
    <t>Proceeds from employee stock plans</t>
  </si>
  <si>
    <t>Principal payments on financing obligations</t>
  </si>
  <si>
    <t>Repayments of debt</t>
  </si>
  <si>
    <t>Net cash provided by (used in) financing activities</t>
  </si>
  <si>
    <t>Effect of exchange rate changes</t>
  </si>
  <si>
    <t>Net increase (decrease) in cash and cash equivalents</t>
  </si>
  <si>
    <t>Cash and cash equivalents, beginning of period</t>
  </si>
  <si>
    <t>Cash and cash equivalents, end of period</t>
  </si>
  <si>
    <t>Cash paid during the period for:</t>
  </si>
  <si>
    <t>Interest</t>
  </si>
  <si>
    <t>Income taxes, net of tax refunds</t>
  </si>
  <si>
    <t>Non-cash investing and financing activities:</t>
  </si>
  <si>
    <t>Fair value of equity awards assumed</t>
  </si>
  <si>
    <t>Fair value of common stock issued as consideration for business combinations</t>
  </si>
  <si>
    <t>Net Income</t>
  </si>
  <si>
    <t>Average Assets</t>
  </si>
  <si>
    <t>ROA</t>
  </si>
  <si>
    <t>Profit Margin</t>
  </si>
  <si>
    <t>Sales</t>
  </si>
  <si>
    <t>Asset Turnover</t>
  </si>
  <si>
    <t>PM * AT</t>
  </si>
  <si>
    <t>Return on Equity (ROE)</t>
  </si>
  <si>
    <t>ROE</t>
  </si>
  <si>
    <t>Avg. Equity (w/o treasury stock)</t>
  </si>
  <si>
    <t>ROE w/o treasury stock</t>
  </si>
  <si>
    <t>Salesforce</t>
  </si>
  <si>
    <t>Working Capital</t>
  </si>
  <si>
    <t>Shares outstanding</t>
  </si>
  <si>
    <t>Market cap</t>
  </si>
  <si>
    <t>Book value</t>
  </si>
  <si>
    <t>Market/Book ratio</t>
  </si>
  <si>
    <t>Adjusted book value</t>
  </si>
  <si>
    <t>Adj. market/book ratio</t>
  </si>
  <si>
    <t>Operating ratio</t>
  </si>
  <si>
    <t>Operating profit ratio</t>
  </si>
  <si>
    <t>Gross profit ratio</t>
  </si>
  <si>
    <t>Net profit ratio</t>
  </si>
  <si>
    <t>Efficiency Ratio</t>
  </si>
  <si>
    <t>Profitability Ratio</t>
  </si>
  <si>
    <t>Asset T/O</t>
  </si>
  <si>
    <t>Inventory T/O</t>
  </si>
  <si>
    <t>AR T/O</t>
  </si>
  <si>
    <t>AP /TO</t>
  </si>
  <si>
    <t>Liquidity Ratio</t>
  </si>
  <si>
    <t>Leverage Ratio</t>
  </si>
  <si>
    <t>Market Value ratios</t>
  </si>
  <si>
    <t>Solvency Ratio</t>
  </si>
  <si>
    <t>Current Ratio</t>
  </si>
  <si>
    <t>Quick Ratio</t>
  </si>
  <si>
    <t>Cash Ratio</t>
  </si>
  <si>
    <t>Net Working Capital</t>
  </si>
  <si>
    <t>Interest coverage ratio</t>
  </si>
  <si>
    <t>Debt-to-assets ratio</t>
  </si>
  <si>
    <t>Equity ratio</t>
  </si>
  <si>
    <t>Debt-to-equity ratio</t>
  </si>
  <si>
    <t>DuPont analysis</t>
  </si>
  <si>
    <t>Average Stockholders Equity</t>
  </si>
  <si>
    <t>DuPont Analysis</t>
  </si>
  <si>
    <t>ROE = ROA*Financial leverage</t>
  </si>
  <si>
    <t>Return on Assets (ROA)</t>
  </si>
  <si>
    <t>Average Total Assets</t>
  </si>
  <si>
    <t>Financial leverage</t>
  </si>
  <si>
    <t>Financial leverage (FL)</t>
  </si>
  <si>
    <t>Average total assets</t>
  </si>
  <si>
    <t>FL</t>
  </si>
  <si>
    <t>Net income - preferred dividends</t>
  </si>
  <si>
    <t>Avg Stockholders equity - Avg preferred equity</t>
  </si>
  <si>
    <t>Return on capital employed (ROCE)</t>
  </si>
  <si>
    <t>ROCE</t>
  </si>
  <si>
    <t>Profit Margin (PM)</t>
  </si>
  <si>
    <t>Asset Turnover (AT)</t>
  </si>
  <si>
    <t>Verification ratios</t>
  </si>
  <si>
    <t>ROA = PM*AT</t>
  </si>
  <si>
    <t>ROE = PM*AT*FL</t>
  </si>
  <si>
    <t>Profitability</t>
  </si>
  <si>
    <t>GP margin</t>
  </si>
  <si>
    <t>Profit margin</t>
  </si>
  <si>
    <t>Operating exps margin</t>
  </si>
  <si>
    <t>Productivity</t>
  </si>
  <si>
    <t>AR Turnover</t>
  </si>
  <si>
    <t>Inventory Turnover</t>
  </si>
  <si>
    <t>AP Turnover</t>
  </si>
  <si>
    <t>Cash conversion cycle</t>
  </si>
  <si>
    <t>PPE Turnover</t>
  </si>
  <si>
    <t>Total liab to equity</t>
  </si>
  <si>
    <t>Times interest earned</t>
  </si>
  <si>
    <t>Profitability*Productivity*FL</t>
  </si>
  <si>
    <t>Gross Margin (GM)</t>
  </si>
  <si>
    <t>Gross Profit</t>
  </si>
  <si>
    <t>GM</t>
  </si>
  <si>
    <t>SG&amp;A</t>
  </si>
  <si>
    <t>Operating Expense Margin (OEM)</t>
  </si>
  <si>
    <t>OEM</t>
  </si>
  <si>
    <t>Avg Account Receivables</t>
  </si>
  <si>
    <t>ART</t>
  </si>
  <si>
    <t>Days Sales Outstanding (DSO)</t>
  </si>
  <si>
    <t>DSO</t>
  </si>
  <si>
    <t>COGS</t>
  </si>
  <si>
    <t>APT</t>
  </si>
  <si>
    <t>Avg Account Payables</t>
  </si>
  <si>
    <t>Days Payable Outstanding (DPO)</t>
  </si>
  <si>
    <t>DPO</t>
  </si>
  <si>
    <t>Accounts Receivable Turnover (ART)</t>
  </si>
  <si>
    <t>Accounts Payable Turnover (APT)</t>
  </si>
  <si>
    <t>Accounts Payable Turnover</t>
  </si>
  <si>
    <t>Accounts Receivable Turnover</t>
  </si>
  <si>
    <t>Cash Conversion Cycle</t>
  </si>
  <si>
    <t>+ DIO</t>
  </si>
  <si>
    <t>-DPO</t>
  </si>
  <si>
    <t>Avg PPE assets</t>
  </si>
  <si>
    <t>Financial Leverage</t>
  </si>
  <si>
    <t>Total Liabilities</t>
  </si>
  <si>
    <t>Stockholders equity</t>
  </si>
  <si>
    <t>Earnings before interest &amp; tax (EBIT)</t>
  </si>
  <si>
    <t>Interest expenses, gross</t>
  </si>
  <si>
    <t>RNOA</t>
  </si>
  <si>
    <t>Return on net operating assets (RNOA)</t>
  </si>
  <si>
    <t>Net operating profit after tax (NOPAT)</t>
  </si>
  <si>
    <t>Avg. net operating assets</t>
  </si>
  <si>
    <t>Net Operating Asset Turnover (NOAT)</t>
  </si>
  <si>
    <t>NOAT</t>
  </si>
  <si>
    <t>Net operating profit margin (NOPM)</t>
  </si>
  <si>
    <t>NOPAT</t>
  </si>
  <si>
    <t>NOPM</t>
  </si>
  <si>
    <t>Non-operating liabilities</t>
  </si>
  <si>
    <t>Non-operating assets</t>
  </si>
  <si>
    <t>Net Non-operating obligation (NNO)</t>
  </si>
  <si>
    <t>NNO</t>
  </si>
  <si>
    <t>FLEV</t>
  </si>
  <si>
    <t>Spread</t>
  </si>
  <si>
    <t>-NNEP</t>
  </si>
  <si>
    <t>Net Non-operating exp percent (NNEP)</t>
  </si>
  <si>
    <t>Net non-operating exp</t>
  </si>
  <si>
    <t>Average NNO</t>
  </si>
  <si>
    <t>NNEP</t>
  </si>
  <si>
    <t>Avg NNO</t>
  </si>
  <si>
    <t>Avg Stockholders equity</t>
  </si>
  <si>
    <t>Non-operating return (NOR)</t>
  </si>
  <si>
    <t>Non-operating return (loss)</t>
  </si>
  <si>
    <t>Cash from operations</t>
  </si>
  <si>
    <t>Cash from operations to total debt</t>
  </si>
  <si>
    <t>Short-term debt+Long-term debt</t>
  </si>
  <si>
    <t>Free operating cash flow to total debt</t>
  </si>
  <si>
    <t>Cash from operations - CAPEX</t>
  </si>
  <si>
    <t>Quick ratio</t>
  </si>
  <si>
    <t>Cash+Marketible securities+Account receivable</t>
  </si>
  <si>
    <t>Current liabilities</t>
  </si>
  <si>
    <t>Total debt-to-equity</t>
  </si>
  <si>
    <t>Long term debt incl current portion + short term debt</t>
  </si>
  <si>
    <t>Altman Z-score</t>
  </si>
  <si>
    <t>Altman’s Z-score Model is a numerical measurement that is used to predict the chances of bankruptcy.</t>
  </si>
  <si>
    <t>Total Assets</t>
  </si>
  <si>
    <t>EBIT</t>
  </si>
  <si>
    <t>Market Value of Equity</t>
  </si>
  <si>
    <t>Financial Ratios</t>
  </si>
  <si>
    <t>Z-score</t>
  </si>
  <si>
    <t>Share price as on January 31</t>
  </si>
  <si>
    <t>NOPM * NOAT</t>
  </si>
  <si>
    <t>Total Equity</t>
  </si>
  <si>
    <t>Adjusted equity</t>
  </si>
  <si>
    <t>Book value per share</t>
  </si>
  <si>
    <t>Market Value per share @ year end</t>
  </si>
  <si>
    <t>Market to book ratio</t>
  </si>
  <si>
    <t>Adj. market to book ratio</t>
  </si>
  <si>
    <t>Dividends</t>
  </si>
  <si>
    <t>Market Value</t>
  </si>
  <si>
    <t>Dividend payout ratio</t>
  </si>
  <si>
    <t>Dividend yield</t>
  </si>
  <si>
    <t>Diluted EPS</t>
  </si>
  <si>
    <t>Adobe</t>
  </si>
  <si>
    <t>Earnings per share</t>
  </si>
  <si>
    <t>Basic EPS</t>
  </si>
  <si>
    <t>Weighted Avg No. of Equity Shares</t>
  </si>
  <si>
    <t>Weighted Avg No. of Equity Shares post coversion of diluted shares</t>
  </si>
  <si>
    <t>Dividend per share</t>
  </si>
  <si>
    <t>CAPM calculator</t>
  </si>
  <si>
    <t>VLO</t>
  </si>
  <si>
    <t>XOM</t>
  </si>
  <si>
    <t>Intercept (α) from market model</t>
  </si>
  <si>
    <t>Beta (ß) from market model (x variable 1)</t>
  </si>
  <si>
    <t>Assumed return on the market</t>
  </si>
  <si>
    <r>
      <t>Expected return R</t>
    </r>
    <r>
      <rPr>
        <b/>
        <vertAlign val="subscript"/>
        <sz val="11"/>
        <color theme="1"/>
        <rFont val="Aptos Narrow"/>
        <family val="2"/>
        <scheme val="minor"/>
      </rPr>
      <t xml:space="preserve">e </t>
    </r>
    <r>
      <rPr>
        <b/>
        <sz val="11"/>
        <color theme="1"/>
        <rFont val="Aptos Narrow"/>
        <family val="2"/>
        <scheme val="minor"/>
      </rPr>
      <t>VLO</t>
    </r>
  </si>
  <si>
    <t>(Equity cost of capital)</t>
  </si>
  <si>
    <t>Cost of Debt Capital</t>
  </si>
  <si>
    <t>Interest/Lease Expense</t>
  </si>
  <si>
    <t>Average Lease &amp; Debt</t>
  </si>
  <si>
    <t>Average interest rate</t>
  </si>
  <si>
    <t>(After tax debt cost of Capital)</t>
  </si>
  <si>
    <t>Total debt + leases (current year only)</t>
  </si>
  <si>
    <t>Price per share @ balance sheet date</t>
  </si>
  <si>
    <t>Shares outstanding per balance sheet (in millions)</t>
  </si>
  <si>
    <t>Market Value of Equity (in millions)</t>
  </si>
  <si>
    <t>(look up market value @ balance sheet date * shares outstanding at year end per the balance sheet)</t>
  </si>
  <si>
    <t>Weighted average cost of capital</t>
  </si>
  <si>
    <t>5 yr.</t>
  </si>
  <si>
    <t>Avg. Annual</t>
  </si>
  <si>
    <t>avg.</t>
  </si>
  <si>
    <t>growth</t>
  </si>
  <si>
    <t>Stock buybacks</t>
  </si>
  <si>
    <t>Buyback per share</t>
  </si>
  <si>
    <t>Total shareholder return per share</t>
  </si>
  <si>
    <t>DDM assuming no growth</t>
  </si>
  <si>
    <t>per share</t>
  </si>
  <si>
    <t>DDM assuming growth at 5 yr. avg.</t>
  </si>
  <si>
    <t>Growth rate adjustment</t>
  </si>
  <si>
    <t>https://www.stock-analysis-on.net/NYSE/Company/Salesforce-Inc/DCF/CAPM</t>
  </si>
  <si>
    <t>Operating expenses</t>
  </si>
  <si>
    <t>Current ratio</t>
  </si>
  <si>
    <t>Current assets</t>
  </si>
  <si>
    <t>Consolidated Statements of Income - USD ($) shares in Millions, $ in Millions</t>
  </si>
  <si>
    <t>Dec. 01, 2023</t>
  </si>
  <si>
    <t>Dec. 02, 2022</t>
  </si>
  <si>
    <t>Dec. 03, 2021</t>
  </si>
  <si>
    <t>Revenue</t>
  </si>
  <si>
    <t>Cost of revenue</t>
  </si>
  <si>
    <t>  Gross profit</t>
  </si>
  <si>
    <t>  Operating expenses:</t>
  </si>
  <si>
    <t>Sales and marketing</t>
  </si>
  <si>
    <t>Amortization of intangibles</t>
  </si>
  <si>
    <t>  Operating income</t>
  </si>
  <si>
    <t>  Non-operating income (expense):</t>
  </si>
  <si>
    <t>Interest expense</t>
  </si>
  <si>
    <t>Investment gains (losses), net</t>
  </si>
  <si>
    <t>Other income (expense), net</t>
  </si>
  <si>
    <t>Total non-operating income (expense), net</t>
  </si>
  <si>
    <t>Income before income taxes</t>
  </si>
  <si>
    <t>Shares used to compute basic net income per share (in shares)</t>
  </si>
  <si>
    <t>Shares used to compute diluted net income per share (in shares)</t>
  </si>
  <si>
    <t>Subscription</t>
  </si>
  <si>
    <t>Product</t>
  </si>
  <si>
    <t>Services and other</t>
  </si>
  <si>
    <t>Short-term investments</t>
  </si>
  <si>
    <t>Trade receivables, net of allowances for doubtful accounts of $16 and of $23, respectively</t>
  </si>
  <si>
    <t>Other intangibles, net</t>
  </si>
  <si>
    <t>Deferred income taxes</t>
  </si>
  <si>
    <t>Other assets</t>
  </si>
  <si>
    <t>Trade payables</t>
  </si>
  <si>
    <t>Accrued expenses</t>
  </si>
  <si>
    <t>Debt</t>
  </si>
  <si>
    <t>Deferred revenue</t>
  </si>
  <si>
    <t>Income taxes payable</t>
  </si>
  <si>
    <t>Long-term liabilities:</t>
  </si>
  <si>
    <t>Other liabilities</t>
  </si>
  <si>
    <t>Commitments and contingencies</t>
  </si>
  <si>
    <t>Preferred stock, $0.0001 par value; 2 shares authorized; none issued</t>
  </si>
  <si>
    <t>Common stock, $0.0001 par value; 900 shares authorized; 601 shares issued;  455 and 462 shares outstanding, respectively</t>
  </si>
  <si>
    <t>Additional paid-in-capital</t>
  </si>
  <si>
    <t>Accumulated other comprehensive income (loss)</t>
  </si>
  <si>
    <t>Treasury stock, at cost (146 and 139 shares, respectively)</t>
  </si>
  <si>
    <t>Cash flows from operating activities:</t>
  </si>
  <si>
    <t>Depreciation, amortization and accretion</t>
  </si>
  <si>
    <t>Stock-based compensation</t>
  </si>
  <si>
    <t>Reduction of operating lease right-of-use assets</t>
  </si>
  <si>
    <t>Unrealized losses (gains) on investments, net</t>
  </si>
  <si>
    <t>Other non-cash items</t>
  </si>
  <si>
    <t>Changes in operating assets and liabilities, net of acquired assets and assumed liabilities:</t>
  </si>
  <si>
    <t>Trade receivables, net</t>
  </si>
  <si>
    <t>Prepaid expenses and other assets</t>
  </si>
  <si>
    <t>Accrued expenses and other liabilities</t>
  </si>
  <si>
    <t>Cash flows from investing activities:</t>
  </si>
  <si>
    <t>Purchases of short-term investments</t>
  </si>
  <si>
    <t>Maturities of short-term investments</t>
  </si>
  <si>
    <t>Proceeds from sales of short-term investments</t>
  </si>
  <si>
    <t>Acquisitions, net of cash acquired</t>
  </si>
  <si>
    <t>Purchases of property and equipment</t>
  </si>
  <si>
    <t>Purchases of long-term investments, intangibles and other assets</t>
  </si>
  <si>
    <t>Proceeds from sales of long-term investments and other assets</t>
  </si>
  <si>
    <t>Net cash provided by (used for) investing activities</t>
  </si>
  <si>
    <t>Cash flows from financing activities:</t>
  </si>
  <si>
    <t>Proceeds from re-issuance of treasury stock</t>
  </si>
  <si>
    <t>Taxes paid related to net share settlement of equity awards</t>
  </si>
  <si>
    <t>Repayment of debt</t>
  </si>
  <si>
    <t>Other financing activities, net</t>
  </si>
  <si>
    <t>Net cash used for financing activities</t>
  </si>
  <si>
    <t>Effect of foreign currency exchange rates on cash and cash equivalents</t>
  </si>
  <si>
    <t>Net change in cash and cash equivalents</t>
  </si>
  <si>
    <t>Cash and cash equivalents at beginning of year</t>
  </si>
  <si>
    <t>Cash and cash equivalents at end of year</t>
  </si>
  <si>
    <t>Supplemental disclosures:</t>
  </si>
  <si>
    <t>Cash paid for income taxes, net of refunds</t>
  </si>
  <si>
    <t>Cash paid for interest</t>
  </si>
  <si>
    <t>CCC</t>
  </si>
  <si>
    <t>ON DEC 1</t>
  </si>
  <si>
    <t>Salesforce Inc</t>
  </si>
  <si>
    <t>For Fiscal year ended January 31, 2024</t>
  </si>
  <si>
    <t>Category</t>
  </si>
  <si>
    <t>Financial Ratio</t>
  </si>
  <si>
    <t>Particulars</t>
  </si>
  <si>
    <t>BUSI 226 : Financial Statement Analysis</t>
  </si>
  <si>
    <t>Profitability Ratios</t>
  </si>
  <si>
    <t>Efficiency Ratios</t>
  </si>
  <si>
    <t>Liquidity Ratios</t>
  </si>
  <si>
    <t>Coverage Ratios</t>
  </si>
  <si>
    <t>Net Operating Profit Margin (NOPM)</t>
  </si>
  <si>
    <t>Gross Profit Margin</t>
  </si>
  <si>
    <t>Return on Equity</t>
  </si>
  <si>
    <t>Return on Assets</t>
  </si>
  <si>
    <t>Return on Net Operating Assets (RNOA)</t>
  </si>
  <si>
    <t>Net Asset Turnover</t>
  </si>
  <si>
    <t>Liabilities to Equity</t>
  </si>
  <si>
    <t>Total Debt to Equity</t>
  </si>
  <si>
    <t>Cash flow from operations to total debt</t>
  </si>
  <si>
    <t>Free Operating Cash flow from operations to total debt</t>
  </si>
  <si>
    <t>Times Interest Earned</t>
  </si>
  <si>
    <t>EBITDA coverage</t>
  </si>
  <si>
    <t>PROFITABILITY</t>
  </si>
  <si>
    <t>EFFICIENCY RATIOS</t>
  </si>
  <si>
    <t>EBITDA Coverage Ratio</t>
  </si>
  <si>
    <t>LIQUIDITY RATIOS</t>
  </si>
  <si>
    <t>COVERAGE RATIOS</t>
  </si>
  <si>
    <t>ADOBE</t>
  </si>
  <si>
    <t>Statutory Tax rate</t>
  </si>
  <si>
    <t>Non-operating Items</t>
  </si>
  <si>
    <t>Operating profit</t>
  </si>
  <si>
    <t>Operating Exp</t>
  </si>
  <si>
    <t>Gross Margin</t>
  </si>
  <si>
    <t>Forecast</t>
  </si>
  <si>
    <t>Optimistic</t>
  </si>
  <si>
    <t>Pessimistic</t>
  </si>
  <si>
    <t>Sensitivity Analysis</t>
  </si>
  <si>
    <t>Net Sales</t>
  </si>
  <si>
    <t>5 year average</t>
  </si>
  <si>
    <t>Statutory  Tax Rate</t>
  </si>
  <si>
    <t xml:space="preserve">Noncontrolling Interest </t>
  </si>
  <si>
    <t>Avg. w/o 2020</t>
  </si>
  <si>
    <t>Avg. % of sales</t>
  </si>
  <si>
    <t>in percentage</t>
  </si>
  <si>
    <t>% of sales</t>
  </si>
  <si>
    <t>5 year avg. change</t>
  </si>
  <si>
    <t>Beg. To end change/4</t>
  </si>
  <si>
    <t>Yr to Yr avg.</t>
  </si>
  <si>
    <t>% change</t>
  </si>
  <si>
    <t>Altman Z-score Analysis</t>
  </si>
  <si>
    <t>Summary of Financial Ratios</t>
  </si>
  <si>
    <t>Detailed working of financial ratios</t>
  </si>
  <si>
    <t>Valuation analysis</t>
  </si>
  <si>
    <t>Weighted Average Cost of Capital (WACC)</t>
  </si>
  <si>
    <t>Forecast Analysis</t>
  </si>
  <si>
    <t>EBITDA</t>
  </si>
  <si>
    <t>Assumed 5 year sales growth</t>
  </si>
  <si>
    <t>Assumed COGS as a % of sales</t>
  </si>
  <si>
    <t>Assumed Op Exp as a % of sales</t>
  </si>
  <si>
    <t>Assumed Non-Op as a % of sales</t>
  </si>
  <si>
    <t>Assumed statutory tax rate=</t>
  </si>
  <si>
    <t>Growth</t>
  </si>
  <si>
    <t>ROPI</t>
  </si>
  <si>
    <t>$</t>
  </si>
  <si>
    <t>Ratio</t>
  </si>
  <si>
    <t>Factor</t>
  </si>
  <si>
    <t>Independent Variables</t>
  </si>
  <si>
    <r>
      <t>Expected return R</t>
    </r>
    <r>
      <rPr>
        <b/>
        <vertAlign val="subscript"/>
        <sz val="12"/>
        <color theme="1"/>
        <rFont val="Times New Roman"/>
        <family val="1"/>
      </rPr>
      <t>e</t>
    </r>
  </si>
  <si>
    <t>Equity cost of capital</t>
  </si>
  <si>
    <t>Average interest rate (After tax debt cost of Capital)</t>
  </si>
  <si>
    <t>Cost of debt capital</t>
  </si>
  <si>
    <t>Weighted average cost of capital (Wc)</t>
  </si>
  <si>
    <t>Terminal</t>
  </si>
  <si>
    <t>NOA</t>
  </si>
  <si>
    <t>Change in NOA</t>
  </si>
  <si>
    <t>FCFF</t>
  </si>
  <si>
    <t>PV of FCFF</t>
  </si>
  <si>
    <t>PV of ROPI</t>
  </si>
  <si>
    <t>Total Firm Value</t>
  </si>
  <si>
    <t>Less:  NNO</t>
  </si>
  <si>
    <t>Less:  Noncontrolling Int.</t>
  </si>
  <si>
    <t>Equity Value</t>
  </si>
  <si>
    <t>Valuation per share</t>
  </si>
  <si>
    <t>Terminal Growth Rate Adj.</t>
  </si>
  <si>
    <t>NOPM adjustment</t>
  </si>
  <si>
    <t>NOAT adjustment</t>
  </si>
  <si>
    <t>Terminal Growth Rate</t>
  </si>
  <si>
    <t>Income tax expense / (benefit)</t>
  </si>
  <si>
    <r>
      <t>Weighted CoC (R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>)</t>
    </r>
  </si>
  <si>
    <r>
      <t>R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 xml:space="preserve"> adjustment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</si>
</sst>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_(* #,##0.0000_);_(* \(#,##0.0000\);_(* &quot;-&quot;??_);_(@_)"/>
    <numFmt numFmtId="170" formatCode="0.000"/>
    <numFmt numFmtId="171" formatCode="0.0000"/>
    <numFmt numFmtId="172" formatCode="0.0"/>
    <numFmt numFmtId="173" formatCode="#,##0.0_);\(#,##0.0\)"/>
    <numFmt numFmtId="174" formatCode="_(&quot;$&quot;* #,##0.0_);_(&quot;$&quot;* \(#,##0.0\);_(&quot;$&quot;* &quot;-&quot;??_);_(@_)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57595D"/>
      <name val="Segoe U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indexed="8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b/>
      <u/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0" fontId="19" fillId="6" borderId="0" applyNumberFormat="0" applyBorder="0" applyAlignment="0" applyProtection="0"/>
    <xf numFmtId="0" fontId="19" fillId="4" borderId="0" applyNumberFormat="0" applyBorder="0" applyAlignment="0" applyProtection="0"/>
    <xf numFmtId="9" fontId="19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7" borderId="0" applyNumberFormat="0" applyBorder="0" applyAlignment="0" applyProtection="0"/>
    <xf numFmtId="0" fontId="20" fillId="5" borderId="0" applyNumberFormat="0" applyBorder="0" applyAlignment="0" applyProtection="0"/>
    <xf numFmtId="0" fontId="19" fillId="9" borderId="0" applyNumberFormat="0" applyBorder="0" applyAlignment="0" applyProtection="0"/>
  </cellStyleXfs>
  <cellXfs count="196">
    <xf numFmtId="0" fontId="0" fillId="0" borderId="0" xfId="0"/>
    <xf numFmtId="0" fontId="2" fillId="0" borderId="0" xfId="0" applyFont="1"/>
    <xf numFmtId="2" fontId="0" fillId="0" borderId="0" xfId="0" applyNumberFormat="1"/>
    <xf numFmtId="37" fontId="0" fillId="0" borderId="0" xfId="0" applyNumberFormat="1"/>
    <xf numFmtId="168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42" fontId="0" fillId="0" borderId="0" xfId="0" applyNumberFormat="1" applyAlignment="1">
      <alignment vertical="top"/>
    </xf>
    <xf numFmtId="167" fontId="0" fillId="2" borderId="0" xfId="2" applyNumberFormat="1" applyFont="1" applyFill="1" applyAlignment="1">
      <alignment vertical="top"/>
    </xf>
    <xf numFmtId="167" fontId="0" fillId="0" borderId="0" xfId="2" applyNumberFormat="1" applyFont="1" applyAlignment="1">
      <alignment vertical="top"/>
    </xf>
    <xf numFmtId="2" fontId="0" fillId="0" borderId="0" xfId="0" applyNumberFormat="1" applyAlignment="1">
      <alignment vertical="top"/>
    </xf>
    <xf numFmtId="166" fontId="0" fillId="0" borderId="0" xfId="1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0" fontId="3" fillId="0" borderId="0" xfId="0" applyFont="1" applyAlignment="1">
      <alignment vertical="top"/>
    </xf>
    <xf numFmtId="37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vertical="top"/>
    </xf>
    <xf numFmtId="9" fontId="0" fillId="0" borderId="0" xfId="2" applyFont="1" applyAlignment="1">
      <alignment vertical="top"/>
    </xf>
    <xf numFmtId="169" fontId="0" fillId="0" borderId="0" xfId="1" applyNumberFormat="1" applyFont="1" applyAlignment="1">
      <alignment vertical="top"/>
    </xf>
    <xf numFmtId="10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0" fontId="5" fillId="0" borderId="0" xfId="0" applyFont="1"/>
    <xf numFmtId="0" fontId="2" fillId="0" borderId="0" xfId="0" applyFont="1" applyAlignment="1">
      <alignment vertical="top" wrapText="1"/>
    </xf>
    <xf numFmtId="43" fontId="2" fillId="0" borderId="0" xfId="0" applyNumberFormat="1" applyFont="1" applyAlignment="1">
      <alignment vertical="top"/>
    </xf>
    <xf numFmtId="0" fontId="6" fillId="2" borderId="0" xfId="0" applyFont="1" applyFill="1"/>
    <xf numFmtId="10" fontId="0" fillId="2" borderId="0" xfId="2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/>
    <xf numFmtId="166" fontId="0" fillId="0" borderId="0" xfId="1" applyNumberFormat="1" applyFont="1"/>
    <xf numFmtId="167" fontId="0" fillId="0" borderId="0" xfId="2" applyNumberFormat="1" applyFont="1"/>
    <xf numFmtId="0" fontId="9" fillId="0" borderId="0" xfId="0" applyFont="1"/>
    <xf numFmtId="0" fontId="2" fillId="0" borderId="0" xfId="0" applyFont="1" applyAlignment="1">
      <alignment horizontal="center"/>
    </xf>
    <xf numFmtId="170" fontId="0" fillId="0" borderId="1" xfId="0" applyNumberFormat="1" applyBorder="1"/>
    <xf numFmtId="0" fontId="0" fillId="0" borderId="1" xfId="0" applyBorder="1"/>
    <xf numFmtId="170" fontId="0" fillId="0" borderId="0" xfId="0" applyNumberFormat="1"/>
    <xf numFmtId="171" fontId="0" fillId="0" borderId="0" xfId="0" applyNumberFormat="1"/>
    <xf numFmtId="166" fontId="0" fillId="0" borderId="1" xfId="1" applyNumberFormat="1" applyFont="1" applyBorder="1"/>
    <xf numFmtId="171" fontId="0" fillId="0" borderId="1" xfId="0" applyNumberFormat="1" applyBorder="1"/>
    <xf numFmtId="0" fontId="11" fillId="0" borderId="0" xfId="0" applyFont="1" applyAlignment="1">
      <alignment horizontal="center"/>
    </xf>
    <xf numFmtId="172" fontId="0" fillId="0" borderId="1" xfId="0" applyNumberFormat="1" applyBorder="1"/>
    <xf numFmtId="44" fontId="0" fillId="3" borderId="1" xfId="3" applyFont="1" applyFill="1" applyBorder="1"/>
    <xf numFmtId="44" fontId="0" fillId="3" borderId="1" xfId="0" applyNumberFormat="1" applyFill="1" applyBorder="1"/>
    <xf numFmtId="44" fontId="0" fillId="0" borderId="0" xfId="0" applyNumberFormat="1"/>
    <xf numFmtId="170" fontId="0" fillId="2" borderId="1" xfId="0" applyNumberFormat="1" applyFill="1" applyBorder="1"/>
    <xf numFmtId="166" fontId="0" fillId="2" borderId="1" xfId="1" applyNumberFormat="1" applyFont="1" applyFill="1" applyBorder="1"/>
    <xf numFmtId="44" fontId="0" fillId="2" borderId="1" xfId="3" applyFont="1" applyFill="1" applyBorder="1"/>
    <xf numFmtId="43" fontId="0" fillId="2" borderId="1" xfId="1" applyFont="1" applyFill="1" applyBorder="1"/>
    <xf numFmtId="0" fontId="2" fillId="11" borderId="0" xfId="0" applyFont="1" applyFill="1" applyAlignment="1">
      <alignment vertical="top"/>
    </xf>
    <xf numFmtId="0" fontId="2" fillId="12" borderId="0" xfId="0" applyFont="1" applyFill="1" applyAlignment="1">
      <alignment vertical="top"/>
    </xf>
    <xf numFmtId="0" fontId="0" fillId="12" borderId="0" xfId="0" applyFill="1" applyAlignment="1">
      <alignment vertical="top"/>
    </xf>
    <xf numFmtId="0" fontId="0" fillId="13" borderId="0" xfId="0" applyFill="1" applyAlignment="1">
      <alignment vertical="top"/>
    </xf>
    <xf numFmtId="0" fontId="2" fillId="13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10" fontId="0" fillId="2" borderId="0" xfId="0" applyNumberFormat="1" applyFill="1" applyAlignment="1">
      <alignment vertical="top"/>
    </xf>
    <xf numFmtId="37" fontId="12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37" fontId="14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42" fontId="14" fillId="0" borderId="1" xfId="0" applyNumberFormat="1" applyFont="1" applyBorder="1" applyAlignment="1">
      <alignment vertical="top"/>
    </xf>
    <xf numFmtId="167" fontId="14" fillId="0" borderId="1" xfId="2" applyNumberFormat="1" applyFont="1" applyFill="1" applyBorder="1" applyAlignment="1">
      <alignment vertical="top"/>
    </xf>
    <xf numFmtId="10" fontId="14" fillId="0" borderId="1" xfId="0" applyNumberFormat="1" applyFont="1" applyBorder="1" applyAlignment="1">
      <alignment vertical="top"/>
    </xf>
    <xf numFmtId="166" fontId="14" fillId="0" borderId="1" xfId="1" applyNumberFormat="1" applyFont="1" applyFill="1" applyBorder="1" applyAlignment="1">
      <alignment vertical="top"/>
    </xf>
    <xf numFmtId="10" fontId="14" fillId="0" borderId="1" xfId="2" applyNumberFormat="1" applyFont="1" applyFill="1" applyBorder="1" applyAlignment="1">
      <alignment vertical="top"/>
    </xf>
    <xf numFmtId="37" fontId="14" fillId="0" borderId="1" xfId="0" applyNumberFormat="1" applyFont="1" applyBorder="1" applyAlignment="1">
      <alignment vertical="top"/>
    </xf>
    <xf numFmtId="9" fontId="14" fillId="0" borderId="1" xfId="2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2" fontId="14" fillId="0" borderId="1" xfId="0" applyNumberFormat="1" applyFont="1" applyBorder="1" applyAlignment="1">
      <alignment vertical="top"/>
    </xf>
    <xf numFmtId="166" fontId="14" fillId="0" borderId="1" xfId="1" applyNumberFormat="1" applyFont="1" applyBorder="1" applyAlignment="1">
      <alignment vertical="top"/>
    </xf>
    <xf numFmtId="43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43" fontId="14" fillId="0" borderId="1" xfId="1" applyFont="1" applyBorder="1" applyAlignment="1">
      <alignment vertical="top"/>
    </xf>
    <xf numFmtId="0" fontId="14" fillId="0" borderId="1" xfId="0" quotePrefix="1" applyFont="1" applyBorder="1" applyAlignment="1">
      <alignment vertical="top"/>
    </xf>
    <xf numFmtId="172" fontId="14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10" fontId="14" fillId="0" borderId="1" xfId="2" applyNumberFormat="1" applyFont="1" applyBorder="1" applyAlignment="1">
      <alignment vertical="top"/>
    </xf>
    <xf numFmtId="169" fontId="14" fillId="0" borderId="1" xfId="1" applyNumberFormat="1" applyFont="1" applyBorder="1" applyAlignment="1">
      <alignment vertical="top"/>
    </xf>
    <xf numFmtId="169" fontId="14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center" vertical="top" wrapText="1"/>
    </xf>
    <xf numFmtId="43" fontId="14" fillId="0" borderId="1" xfId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3" fillId="0" borderId="0" xfId="0" applyFont="1" applyAlignment="1">
      <alignment vertical="top"/>
    </xf>
    <xf numFmtId="164" fontId="16" fillId="0" borderId="0" xfId="0" applyNumberFormat="1" applyFont="1" applyAlignment="1">
      <alignment horizontal="right" vertical="top"/>
    </xf>
    <xf numFmtId="37" fontId="16" fillId="0" borderId="0" xfId="0" applyNumberFormat="1" applyFont="1" applyAlignment="1">
      <alignment horizontal="right" vertical="top"/>
    </xf>
    <xf numFmtId="165" fontId="16" fillId="0" borderId="0" xfId="0" applyNumberFormat="1" applyFont="1" applyAlignment="1">
      <alignment horizontal="right" vertical="top"/>
    </xf>
    <xf numFmtId="173" fontId="16" fillId="0" borderId="0" xfId="0" applyNumberFormat="1" applyFont="1" applyAlignment="1">
      <alignment horizontal="right" vertical="top"/>
    </xf>
    <xf numFmtId="0" fontId="23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4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0" fontId="21" fillId="0" borderId="0" xfId="4" applyFont="1" applyAlignment="1">
      <alignment vertical="top"/>
    </xf>
    <xf numFmtId="0" fontId="14" fillId="0" borderId="0" xfId="4" applyFont="1" applyAlignment="1">
      <alignment vertical="top"/>
    </xf>
    <xf numFmtId="0" fontId="13" fillId="0" borderId="1" xfId="4" applyFont="1" applyBorder="1" applyAlignment="1">
      <alignment horizontal="center" vertical="top"/>
    </xf>
    <xf numFmtId="0" fontId="13" fillId="0" borderId="0" xfId="4" applyFont="1" applyAlignment="1">
      <alignment vertical="top"/>
    </xf>
    <xf numFmtId="0" fontId="14" fillId="8" borderId="1" xfId="8" applyFont="1" applyBorder="1" applyAlignment="1">
      <alignment vertical="top"/>
    </xf>
    <xf numFmtId="0" fontId="22" fillId="5" borderId="1" xfId="11" applyFont="1" applyBorder="1" applyAlignment="1">
      <alignment vertical="top"/>
    </xf>
    <xf numFmtId="0" fontId="14" fillId="0" borderId="1" xfId="4" applyFont="1" applyBorder="1" applyAlignment="1">
      <alignment vertical="top"/>
    </xf>
    <xf numFmtId="10" fontId="14" fillId="0" borderId="0" xfId="4" applyNumberFormat="1" applyFont="1" applyAlignment="1">
      <alignment vertical="top"/>
    </xf>
    <xf numFmtId="0" fontId="14" fillId="10" borderId="1" xfId="9" applyFont="1" applyBorder="1" applyAlignment="1">
      <alignment vertical="top"/>
    </xf>
    <xf numFmtId="167" fontId="14" fillId="0" borderId="0" xfId="4" applyNumberFormat="1" applyFont="1" applyAlignment="1">
      <alignment vertical="top"/>
    </xf>
    <xf numFmtId="167" fontId="13" fillId="0" borderId="0" xfId="4" applyNumberFormat="1" applyFont="1" applyAlignment="1">
      <alignment vertical="top"/>
    </xf>
    <xf numFmtId="9" fontId="14" fillId="0" borderId="0" xfId="7" applyFont="1" applyBorder="1" applyAlignment="1">
      <alignment vertical="top"/>
    </xf>
    <xf numFmtId="174" fontId="14" fillId="0" borderId="0" xfId="4" applyNumberFormat="1" applyFont="1" applyAlignment="1">
      <alignment vertical="top"/>
    </xf>
    <xf numFmtId="168" fontId="14" fillId="0" borderId="0" xfId="4" applyNumberFormat="1" applyFont="1" applyAlignment="1">
      <alignment vertical="top"/>
    </xf>
    <xf numFmtId="44" fontId="14" fillId="0" borderId="0" xfId="4" applyNumberFormat="1" applyFont="1" applyAlignment="1">
      <alignment vertical="top"/>
    </xf>
    <xf numFmtId="170" fontId="14" fillId="0" borderId="1" xfId="0" applyNumberFormat="1" applyFont="1" applyBorder="1" applyAlignment="1">
      <alignment vertical="top"/>
    </xf>
    <xf numFmtId="171" fontId="14" fillId="0" borderId="1" xfId="0" applyNumberFormat="1" applyFont="1" applyBorder="1" applyAlignment="1">
      <alignment vertical="top"/>
    </xf>
    <xf numFmtId="44" fontId="14" fillId="0" borderId="1" xfId="3" applyFont="1" applyFill="1" applyBorder="1" applyAlignment="1">
      <alignment vertical="top"/>
    </xf>
    <xf numFmtId="0" fontId="14" fillId="0" borderId="1" xfId="0" applyFont="1" applyBorder="1" applyAlignment="1">
      <alignment horizontal="right" vertical="top"/>
    </xf>
    <xf numFmtId="43" fontId="14" fillId="0" borderId="1" xfId="1" applyFont="1" applyBorder="1" applyAlignment="1">
      <alignment horizontal="right" vertical="top"/>
    </xf>
    <xf numFmtId="37" fontId="14" fillId="0" borderId="1" xfId="0" applyNumberFormat="1" applyFont="1" applyBorder="1" applyAlignment="1">
      <alignment horizontal="right" vertical="top"/>
    </xf>
    <xf numFmtId="166" fontId="14" fillId="0" borderId="1" xfId="1" applyNumberFormat="1" applyFont="1" applyBorder="1" applyAlignment="1">
      <alignment horizontal="right" vertical="top"/>
    </xf>
    <xf numFmtId="43" fontId="13" fillId="0" borderId="1" xfId="0" applyNumberFormat="1" applyFont="1" applyBorder="1" applyAlignment="1">
      <alignment horizontal="right" vertical="top"/>
    </xf>
    <xf numFmtId="0" fontId="13" fillId="0" borderId="1" xfId="12" applyFont="1" applyFill="1" applyBorder="1" applyAlignment="1">
      <alignment horizontal="center" vertical="top"/>
    </xf>
    <xf numFmtId="0" fontId="13" fillId="0" borderId="1" xfId="4" applyFont="1" applyBorder="1" applyAlignment="1">
      <alignment vertical="top"/>
    </xf>
    <xf numFmtId="0" fontId="14" fillId="0" borderId="1" xfId="5" applyFont="1" applyFill="1" applyBorder="1" applyAlignment="1">
      <alignment vertical="top"/>
    </xf>
    <xf numFmtId="1" fontId="14" fillId="0" borderId="1" xfId="4" applyNumberFormat="1" applyFont="1" applyBorder="1" applyAlignment="1">
      <alignment vertical="top"/>
    </xf>
    <xf numFmtId="10" fontId="13" fillId="0" borderId="1" xfId="2" applyNumberFormat="1" applyFont="1" applyFill="1" applyBorder="1" applyAlignment="1">
      <alignment horizontal="center" vertical="top"/>
    </xf>
    <xf numFmtId="1" fontId="13" fillId="0" borderId="1" xfId="10" applyNumberFormat="1" applyFont="1" applyFill="1" applyBorder="1" applyAlignment="1">
      <alignment horizontal="center" vertical="top"/>
    </xf>
    <xf numFmtId="10" fontId="13" fillId="0" borderId="1" xfId="2" applyNumberFormat="1" applyFont="1" applyBorder="1" applyAlignment="1">
      <alignment vertical="top"/>
    </xf>
    <xf numFmtId="166" fontId="14" fillId="0" borderId="0" xfId="4" applyNumberFormat="1" applyFont="1" applyAlignment="1">
      <alignment vertical="top"/>
    </xf>
    <xf numFmtId="164" fontId="14" fillId="0" borderId="0" xfId="0" applyNumberFormat="1" applyFont="1" applyAlignment="1">
      <alignment vertical="top"/>
    </xf>
    <xf numFmtId="167" fontId="14" fillId="0" borderId="0" xfId="2" applyNumberFormat="1" applyFont="1" applyAlignment="1">
      <alignment vertical="top"/>
    </xf>
    <xf numFmtId="10" fontId="14" fillId="15" borderId="0" xfId="0" applyNumberFormat="1" applyFont="1" applyFill="1" applyAlignment="1">
      <alignment vertical="top"/>
    </xf>
    <xf numFmtId="167" fontId="14" fillId="15" borderId="0" xfId="2" applyNumberFormat="1" applyFont="1" applyFill="1" applyAlignment="1">
      <alignment vertical="top"/>
    </xf>
    <xf numFmtId="10" fontId="14" fillId="15" borderId="0" xfId="2" applyNumberFormat="1" applyFont="1" applyFill="1" applyAlignment="1">
      <alignment vertical="top"/>
    </xf>
    <xf numFmtId="167" fontId="14" fillId="15" borderId="0" xfId="0" applyNumberFormat="1" applyFont="1" applyFill="1" applyAlignment="1">
      <alignment vertical="top"/>
    </xf>
    <xf numFmtId="168" fontId="13" fillId="0" borderId="0" xfId="3" applyNumberFormat="1" applyFont="1" applyAlignment="1">
      <alignment horizontal="left" vertical="top"/>
    </xf>
    <xf numFmtId="0" fontId="24" fillId="0" borderId="1" xfId="0" applyFont="1" applyBorder="1" applyAlignment="1">
      <alignment horizontal="center" vertical="top"/>
    </xf>
    <xf numFmtId="0" fontId="13" fillId="0" borderId="0" xfId="0" applyFont="1" applyAlignment="1">
      <alignment horizontal="left" vertical="top"/>
    </xf>
    <xf numFmtId="168" fontId="13" fillId="0" borderId="1" xfId="3" applyNumberFormat="1" applyFont="1" applyFill="1" applyBorder="1" applyAlignment="1">
      <alignment vertical="top"/>
    </xf>
    <xf numFmtId="166" fontId="13" fillId="0" borderId="1" xfId="1" applyNumberFormat="1" applyFont="1" applyFill="1" applyBorder="1" applyAlignment="1">
      <alignment vertical="top"/>
    </xf>
    <xf numFmtId="167" fontId="14" fillId="0" borderId="1" xfId="2" applyNumberFormat="1" applyFont="1" applyBorder="1" applyAlignment="1">
      <alignment vertical="top"/>
    </xf>
    <xf numFmtId="166" fontId="13" fillId="0" borderId="1" xfId="1" applyNumberFormat="1" applyFont="1" applyBorder="1" applyAlignment="1">
      <alignment vertical="top"/>
    </xf>
    <xf numFmtId="166" fontId="13" fillId="0" borderId="0" xfId="1" applyNumberFormat="1" applyFont="1" applyAlignment="1">
      <alignment vertical="top"/>
    </xf>
    <xf numFmtId="166" fontId="14" fillId="0" borderId="1" xfId="0" applyNumberFormat="1" applyFont="1" applyBorder="1" applyAlignment="1">
      <alignment vertical="top"/>
    </xf>
    <xf numFmtId="2" fontId="14" fillId="0" borderId="1" xfId="2" applyNumberFormat="1" applyFont="1" applyBorder="1" applyAlignment="1">
      <alignment vertical="top"/>
    </xf>
    <xf numFmtId="166" fontId="25" fillId="0" borderId="1" xfId="1" applyNumberFormat="1" applyFont="1" applyBorder="1" applyAlignment="1">
      <alignment vertical="top"/>
    </xf>
    <xf numFmtId="0" fontId="26" fillId="0" borderId="1" xfId="0" applyFont="1" applyBorder="1" applyAlignment="1">
      <alignment vertical="top"/>
    </xf>
    <xf numFmtId="166" fontId="14" fillId="0" borderId="0" xfId="1" applyNumberFormat="1" applyFont="1" applyAlignment="1">
      <alignment vertical="top"/>
    </xf>
    <xf numFmtId="166" fontId="13" fillId="0" borderId="1" xfId="1" applyNumberFormat="1" applyFont="1" applyFill="1" applyBorder="1" applyAlignment="1">
      <alignment horizontal="left" vertical="top"/>
    </xf>
    <xf numFmtId="166" fontId="13" fillId="0" borderId="1" xfId="1" applyNumberFormat="1" applyFont="1" applyFill="1" applyBorder="1" applyAlignment="1">
      <alignment horizontal="center" vertical="top"/>
    </xf>
    <xf numFmtId="0" fontId="26" fillId="0" borderId="0" xfId="0" applyFont="1" applyAlignment="1">
      <alignment vertical="top"/>
    </xf>
    <xf numFmtId="0" fontId="14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/>
    </xf>
    <xf numFmtId="168" fontId="14" fillId="0" borderId="0" xfId="3" applyNumberFormat="1" applyFont="1" applyBorder="1" applyAlignment="1">
      <alignment vertical="top"/>
    </xf>
    <xf numFmtId="168" fontId="13" fillId="0" borderId="1" xfId="3" applyNumberFormat="1" applyFont="1" applyFill="1" applyBorder="1" applyAlignment="1">
      <alignment horizontal="left" vertical="top"/>
    </xf>
    <xf numFmtId="44" fontId="13" fillId="0" borderId="1" xfId="3" applyFont="1" applyFill="1" applyBorder="1" applyAlignment="1">
      <alignment vertical="top"/>
    </xf>
    <xf numFmtId="0" fontId="13" fillId="0" borderId="1" xfId="6" applyFont="1" applyFill="1" applyBorder="1" applyAlignment="1">
      <alignment horizontal="center" vertical="top"/>
    </xf>
    <xf numFmtId="167" fontId="14" fillId="0" borderId="1" xfId="4" applyNumberFormat="1" applyFont="1" applyBorder="1" applyAlignment="1">
      <alignment vertical="top"/>
    </xf>
    <xf numFmtId="168" fontId="14" fillId="0" borderId="1" xfId="3" applyNumberFormat="1" applyFont="1" applyFill="1" applyBorder="1" applyAlignment="1">
      <alignment vertical="top"/>
    </xf>
    <xf numFmtId="10" fontId="14" fillId="0" borderId="1" xfId="4" applyNumberFormat="1" applyFont="1" applyBorder="1" applyAlignment="1">
      <alignment vertical="top"/>
    </xf>
    <xf numFmtId="0" fontId="13" fillId="0" borderId="0" xfId="0" applyFont="1" applyAlignment="1">
      <alignment horizontal="center" vertical="top"/>
    </xf>
    <xf numFmtId="167" fontId="14" fillId="0" borderId="1" xfId="0" applyNumberFormat="1" applyFont="1" applyBorder="1" applyAlignment="1">
      <alignment vertical="top"/>
    </xf>
    <xf numFmtId="167" fontId="14" fillId="0" borderId="0" xfId="2" applyNumberFormat="1" applyFont="1" applyFill="1" applyAlignment="1">
      <alignment vertical="top"/>
    </xf>
    <xf numFmtId="10" fontId="14" fillId="0" borderId="1" xfId="2" applyNumberFormat="1" applyFont="1" applyFill="1" applyBorder="1" applyAlignment="1">
      <alignment horizontal="right" vertical="top"/>
    </xf>
    <xf numFmtId="10" fontId="14" fillId="0" borderId="1" xfId="0" applyNumberFormat="1" applyFont="1" applyBorder="1" applyAlignment="1">
      <alignment horizontal="right" vertical="top"/>
    </xf>
    <xf numFmtId="2" fontId="14" fillId="0" borderId="1" xfId="0" applyNumberFormat="1" applyFont="1" applyBorder="1" applyAlignment="1">
      <alignment horizontal="right" vertical="top"/>
    </xf>
    <xf numFmtId="43" fontId="14" fillId="0" borderId="1" xfId="0" applyNumberFormat="1" applyFont="1" applyBorder="1" applyAlignment="1">
      <alignment horizontal="right" vertical="top"/>
    </xf>
    <xf numFmtId="43" fontId="14" fillId="0" borderId="1" xfId="1" applyFont="1" applyFill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2" xfId="4" applyFont="1" applyBorder="1" applyAlignment="1">
      <alignment horizontal="center" vertical="top"/>
    </xf>
    <xf numFmtId="0" fontId="13" fillId="0" borderId="4" xfId="4" applyFont="1" applyBorder="1" applyAlignment="1">
      <alignment horizontal="center" vertical="top"/>
    </xf>
    <xf numFmtId="0" fontId="13" fillId="0" borderId="1" xfId="4" applyFont="1" applyBorder="1" applyAlignment="1">
      <alignment horizontal="center" vertical="top"/>
    </xf>
    <xf numFmtId="0" fontId="13" fillId="0" borderId="5" xfId="4" applyFont="1" applyBorder="1" applyAlignment="1">
      <alignment horizontal="center" vertical="top"/>
    </xf>
    <xf numFmtId="0" fontId="13" fillId="0" borderId="6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top"/>
    </xf>
    <xf numFmtId="0" fontId="24" fillId="0" borderId="2" xfId="0" applyFont="1" applyBorder="1" applyAlignment="1">
      <alignment horizontal="center" vertical="top"/>
    </xf>
    <xf numFmtId="0" fontId="24" fillId="0" borderId="4" xfId="0" applyFont="1" applyBorder="1" applyAlignment="1">
      <alignment horizontal="center" vertical="top"/>
    </xf>
    <xf numFmtId="0" fontId="23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</cellXfs>
  <cellStyles count="13">
    <cellStyle name="20% - Accent3 2" xfId="10" xr:uid="{33FD7DC2-9F73-4463-9259-F14CDDF42826}"/>
    <cellStyle name="20% - Accent4 2" xfId="8" xr:uid="{C9CFD2F2-DFD3-47E6-9BAF-10A547E21EFD}"/>
    <cellStyle name="20% - Accent5 2" xfId="12" xr:uid="{8681B119-9F30-41B2-9E64-EF7904EDB1F2}"/>
    <cellStyle name="20% - Accent6 2" xfId="9" xr:uid="{54090A04-9AFF-43F7-B61F-D11BDE51D2E3}"/>
    <cellStyle name="40% - Accent1 2" xfId="6" xr:uid="{DB2F5126-562C-4BCD-B633-500918C17A5C}"/>
    <cellStyle name="40% - Accent2 2" xfId="5" xr:uid="{95DA659C-C443-45CD-B401-62756661AE80}"/>
    <cellStyle name="Accent2 2" xfId="11" xr:uid="{EF34D01C-FCDC-4FD1-952B-109FBF47FF11}"/>
    <cellStyle name="Comma" xfId="1" builtinId="3"/>
    <cellStyle name="Currency" xfId="3" builtinId="4"/>
    <cellStyle name="Normal" xfId="0" builtinId="0"/>
    <cellStyle name="Normal 2" xfId="4" xr:uid="{15580F8B-48E6-411F-B6B1-B8B1B08A13BF}"/>
    <cellStyle name="Percent" xfId="2" builtinId="5"/>
    <cellStyle name="Percent 2" xfId="7" xr:uid="{F10AC9F8-2E00-46E1-81F0-95F5147C81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182132</xdr:rowOff>
    </xdr:from>
    <xdr:to>
      <xdr:col>5</xdr:col>
      <xdr:colOff>324903</xdr:colOff>
      <xdr:row>41</xdr:row>
      <xdr:rowOff>60460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67E99-0567-45C1-B8F2-9360E2063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35132"/>
          <a:ext cx="4797843" cy="30482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182880</xdr:rowOff>
    </xdr:from>
    <xdr:to>
      <xdr:col>14</xdr:col>
      <xdr:colOff>523724</xdr:colOff>
      <xdr:row>49</xdr:row>
      <xdr:rowOff>58756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27CE1-8538-4D3D-9B72-8BB84336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05800"/>
          <a:ext cx="11130764" cy="1460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8807</xdr:colOff>
      <xdr:row>5</xdr:row>
      <xdr:rowOff>114300</xdr:rowOff>
    </xdr:from>
    <xdr:to>
      <xdr:col>16</xdr:col>
      <xdr:colOff>483657</xdr:colOff>
      <xdr:row>24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6A96F-D10E-9636-D523-77D2FDFB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2287" y="1104900"/>
          <a:ext cx="5702170" cy="3793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160020</xdr:colOff>
      <xdr:row>0</xdr:row>
      <xdr:rowOff>0</xdr:rowOff>
    </xdr:from>
    <xdr:to>
      <xdr:col>33</xdr:col>
      <xdr:colOff>95037</xdr:colOff>
      <xdr:row>43</xdr:row>
      <xdr:rowOff>98281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A68DA-1ACE-432A-B9FD-3BFEFCDC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6040" y="0"/>
          <a:ext cx="12127017" cy="80688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25</xdr:col>
      <xdr:colOff>96284</xdr:colOff>
      <xdr:row>51</xdr:row>
      <xdr:rowOff>180397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3552EB-6FFF-53D4-9A04-B0A0A6CB4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0"/>
          <a:ext cx="7411484" cy="95072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56147</xdr:colOff>
      <xdr:row>35</xdr:row>
      <xdr:rowOff>161462</xdr:rowOff>
    </xdr:from>
    <xdr:to>
      <xdr:col>21</xdr:col>
      <xdr:colOff>390711</xdr:colOff>
      <xdr:row>47</xdr:row>
      <xdr:rowOff>159538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DEBEAB-AA02-4D9A-9C6D-679C40CC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2547" y="6562262"/>
          <a:ext cx="7649764" cy="2375516"/>
        </a:xfrm>
        <a:prstGeom prst="rect">
          <a:avLst/>
        </a:prstGeom>
      </xdr:spPr>
    </xdr:pic>
    <xdr:clientData/>
  </xdr:twoCellAnchor>
  <xdr:twoCellAnchor editAs="oneCell">
    <xdr:from>
      <xdr:col>10</xdr:col>
      <xdr:colOff>513346</xdr:colOff>
      <xdr:row>58</xdr:row>
      <xdr:rowOff>5855</xdr:rowOff>
    </xdr:from>
    <xdr:to>
      <xdr:col>21</xdr:col>
      <xdr:colOff>451889</xdr:colOff>
      <xdr:row>68</xdr:row>
      <xdr:rowOff>13765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662BA-C642-4251-ADEB-E51571C24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9346" y="10612895"/>
          <a:ext cx="6644143" cy="1989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25</xdr:col>
      <xdr:colOff>96284</xdr:colOff>
      <xdr:row>51</xdr:row>
      <xdr:rowOff>180397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1F720F-33A7-48BB-A900-921D9F02B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0"/>
          <a:ext cx="7411484" cy="95072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4109-6B9A-4D51-82F0-6939520FBCBF}">
  <dimension ref="A1:G183"/>
  <sheetViews>
    <sheetView zoomScale="95" workbookViewId="0">
      <selection activeCell="D2" sqref="D2"/>
    </sheetView>
  </sheetViews>
  <sheetFormatPr defaultRowHeight="14.4" x14ac:dyDescent="0.3"/>
  <cols>
    <col min="1" max="1" width="42.88671875" style="5" bestFit="1" customWidth="1"/>
    <col min="2" max="3" width="11.5546875" style="5" bestFit="1" customWidth="1"/>
    <col min="4" max="4" width="7.109375" style="5" bestFit="1" customWidth="1"/>
    <col min="5" max="5" width="25.5546875" style="5" customWidth="1"/>
    <col min="6" max="16384" width="8.88671875" style="5"/>
  </cols>
  <sheetData>
    <row r="1" spans="1:5" x14ac:dyDescent="0.3">
      <c r="B1" s="6" t="s">
        <v>118</v>
      </c>
      <c r="C1" s="6" t="s">
        <v>118</v>
      </c>
      <c r="E1" s="5" t="s">
        <v>164</v>
      </c>
    </row>
    <row r="2" spans="1:5" x14ac:dyDescent="0.3">
      <c r="A2" s="51" t="s">
        <v>152</v>
      </c>
      <c r="B2" s="6">
        <v>2024</v>
      </c>
      <c r="C2" s="6">
        <v>2023</v>
      </c>
      <c r="D2" s="6">
        <v>2022</v>
      </c>
    </row>
    <row r="3" spans="1:5" x14ac:dyDescent="0.3">
      <c r="A3" s="5" t="s">
        <v>107</v>
      </c>
      <c r="B3" s="8">
        <f>'SF_P&amp;L'!C19</f>
        <v>4136</v>
      </c>
      <c r="C3" s="8">
        <f>'SF_P&amp;L'!D19</f>
        <v>208</v>
      </c>
      <c r="E3" s="5" t="s">
        <v>165</v>
      </c>
    </row>
    <row r="4" spans="1:5" x14ac:dyDescent="0.3">
      <c r="A4" s="5" t="s">
        <v>108</v>
      </c>
      <c r="B4" s="8">
        <f>(SF_BS!B16+SF_BS!C16)/2</f>
        <v>99336</v>
      </c>
      <c r="C4" s="8">
        <f>(SF_BS!C16+SF_BS!D16)/2</f>
        <v>97029</v>
      </c>
      <c r="E4" s="5" t="s">
        <v>151</v>
      </c>
    </row>
    <row r="5" spans="1:5" x14ac:dyDescent="0.3">
      <c r="A5" s="5" t="s">
        <v>109</v>
      </c>
      <c r="B5" s="9">
        <f>B3/B4</f>
        <v>4.1636466135137315E-2</v>
      </c>
      <c r="C5" s="9">
        <f>C3/C4</f>
        <v>2.1436890001958176E-3</v>
      </c>
      <c r="E5" s="5" t="s">
        <v>166</v>
      </c>
    </row>
    <row r="7" spans="1:5" x14ac:dyDescent="0.3">
      <c r="A7" s="51" t="s">
        <v>162</v>
      </c>
      <c r="E7" s="5" t="s">
        <v>179</v>
      </c>
    </row>
    <row r="8" spans="1:5" x14ac:dyDescent="0.3">
      <c r="A8" s="5" t="s">
        <v>107</v>
      </c>
      <c r="B8" s="8">
        <f>'SF_P&amp;L'!C19</f>
        <v>4136</v>
      </c>
      <c r="C8" s="8">
        <f>'SF_P&amp;L'!D19</f>
        <v>208</v>
      </c>
    </row>
    <row r="9" spans="1:5" x14ac:dyDescent="0.3">
      <c r="A9" s="5" t="s">
        <v>111</v>
      </c>
      <c r="B9" s="8">
        <f>+'SF_P&amp;L'!C4</f>
        <v>34857</v>
      </c>
      <c r="C9" s="8">
        <f>+'SF_P&amp;L'!D4</f>
        <v>31352</v>
      </c>
    </row>
    <row r="10" spans="1:5" x14ac:dyDescent="0.3">
      <c r="A10" s="5" t="s">
        <v>110</v>
      </c>
      <c r="B10" s="10">
        <f>B8/B9</f>
        <v>0.11865622400091803</v>
      </c>
      <c r="C10" s="10">
        <f>C8/C9</f>
        <v>6.6343454963000764E-3</v>
      </c>
    </row>
    <row r="12" spans="1:5" x14ac:dyDescent="0.3">
      <c r="A12" s="52" t="s">
        <v>163</v>
      </c>
    </row>
    <row r="13" spans="1:5" x14ac:dyDescent="0.3">
      <c r="A13" s="5" t="s">
        <v>111</v>
      </c>
      <c r="B13" s="8">
        <f>+'SF_P&amp;L'!C4</f>
        <v>34857</v>
      </c>
      <c r="C13" s="8">
        <f>+'SF_P&amp;L'!D4</f>
        <v>31352</v>
      </c>
    </row>
    <row r="14" spans="1:5" x14ac:dyDescent="0.3">
      <c r="A14" s="5" t="s">
        <v>108</v>
      </c>
      <c r="B14" s="8">
        <f>B4</f>
        <v>99336</v>
      </c>
      <c r="C14" s="8">
        <f>C4</f>
        <v>97029</v>
      </c>
    </row>
    <row r="15" spans="1:5" x14ac:dyDescent="0.3">
      <c r="A15" s="5" t="s">
        <v>112</v>
      </c>
      <c r="B15" s="11">
        <f>B13/B14</f>
        <v>0.35089997583957477</v>
      </c>
      <c r="C15" s="11">
        <f>C13/C14</f>
        <v>0.32311989199105423</v>
      </c>
    </row>
    <row r="17" spans="1:3" x14ac:dyDescent="0.3">
      <c r="A17" s="5" t="s">
        <v>113</v>
      </c>
      <c r="B17" s="9">
        <f>B10*B15</f>
        <v>4.1636466135137308E-2</v>
      </c>
      <c r="C17" s="9">
        <f>C10*C15</f>
        <v>2.1436890001958176E-3</v>
      </c>
    </row>
    <row r="19" spans="1:3" x14ac:dyDescent="0.3">
      <c r="A19" s="51" t="s">
        <v>114</v>
      </c>
    </row>
    <row r="20" spans="1:3" x14ac:dyDescent="0.3">
      <c r="A20" s="5" t="s">
        <v>107</v>
      </c>
      <c r="B20" s="8">
        <f>B3</f>
        <v>4136</v>
      </c>
      <c r="C20" s="8">
        <f>C3</f>
        <v>208</v>
      </c>
    </row>
    <row r="21" spans="1:3" x14ac:dyDescent="0.3">
      <c r="A21" s="5" t="s">
        <v>149</v>
      </c>
      <c r="B21" s="12">
        <f>(SF_BS!B35+SF_BS!C35)/2</f>
        <v>59002.5</v>
      </c>
      <c r="C21" s="12">
        <f>(SF_BS!C35+SF_BS!D35)/2</f>
        <v>58245</v>
      </c>
    </row>
    <row r="22" spans="1:3" x14ac:dyDescent="0.3">
      <c r="A22" s="5" t="s">
        <v>115</v>
      </c>
      <c r="B22" s="13">
        <f>B20/B21</f>
        <v>7.0098724630312276E-2</v>
      </c>
      <c r="C22" s="13">
        <f>C20/C21</f>
        <v>3.5711219847197185E-3</v>
      </c>
    </row>
    <row r="23" spans="1:3" x14ac:dyDescent="0.3">
      <c r="A23" s="14" t="s">
        <v>116</v>
      </c>
      <c r="B23" s="15">
        <f>((SF_BS!B35-SF_BS!B31)+(SF_BS!C35-SF_BS!C31))/2</f>
        <v>66848.5</v>
      </c>
      <c r="C23" s="15">
        <f>((SF_BS!C35-SF_BS!C31)+(SF_BS!D35-SF_BS!D31))/2</f>
        <v>60245</v>
      </c>
    </row>
    <row r="24" spans="1:3" x14ac:dyDescent="0.3">
      <c r="A24" s="14" t="s">
        <v>117</v>
      </c>
      <c r="B24" s="13">
        <f>+B20/B23</f>
        <v>6.1871246176054807E-2</v>
      </c>
      <c r="C24" s="13">
        <f>+C20/C23</f>
        <v>3.4525686778985806E-3</v>
      </c>
    </row>
    <row r="27" spans="1:3" x14ac:dyDescent="0.3">
      <c r="A27" s="56" t="s">
        <v>155</v>
      </c>
    </row>
    <row r="28" spans="1:3" x14ac:dyDescent="0.3">
      <c r="A28" s="5" t="s">
        <v>156</v>
      </c>
      <c r="B28" s="12">
        <f>(SF_BS!B16+SF_BS!C16)/2</f>
        <v>99336</v>
      </c>
      <c r="C28" s="12">
        <f>(SF_BS!C16+SF_BS!D16)/2</f>
        <v>97029</v>
      </c>
    </row>
    <row r="29" spans="1:3" x14ac:dyDescent="0.3">
      <c r="A29" s="5" t="s">
        <v>149</v>
      </c>
      <c r="B29" s="12">
        <f>+(SF_BS!B35+SF_BS!C35)/2</f>
        <v>59002.5</v>
      </c>
      <c r="C29" s="12">
        <f>+(SF_BS!C35+SF_BS!D35)/2</f>
        <v>58245</v>
      </c>
    </row>
    <row r="30" spans="1:3" x14ac:dyDescent="0.3">
      <c r="A30" s="5" t="s">
        <v>157</v>
      </c>
      <c r="B30" s="17">
        <f>+B28/B29</f>
        <v>1.6835896784034574</v>
      </c>
      <c r="C30" s="17">
        <f>+C28/C29</f>
        <v>1.6658768993046613</v>
      </c>
    </row>
    <row r="31" spans="1:3" x14ac:dyDescent="0.3">
      <c r="B31" s="17"/>
      <c r="C31" s="17"/>
    </row>
    <row r="32" spans="1:3" x14ac:dyDescent="0.3">
      <c r="A32" s="16" t="s">
        <v>150</v>
      </c>
    </row>
    <row r="33" spans="1:3" x14ac:dyDescent="0.3">
      <c r="A33" s="16" t="s">
        <v>151</v>
      </c>
      <c r="B33" s="13">
        <f>+B5*B30</f>
        <v>7.0098724630312276E-2</v>
      </c>
      <c r="C33" s="13">
        <f>+C5*C30</f>
        <v>3.5711219847197181E-3</v>
      </c>
    </row>
    <row r="34" spans="1:3" x14ac:dyDescent="0.3">
      <c r="B34" s="12"/>
      <c r="C34" s="12"/>
    </row>
    <row r="35" spans="1:3" x14ac:dyDescent="0.3">
      <c r="A35" s="7" t="s">
        <v>160</v>
      </c>
      <c r="B35" s="12"/>
      <c r="C35" s="12"/>
    </row>
    <row r="36" spans="1:3" x14ac:dyDescent="0.3">
      <c r="A36" s="5" t="s">
        <v>158</v>
      </c>
      <c r="B36" s="12">
        <f>'SF_P&amp;L'!C19</f>
        <v>4136</v>
      </c>
      <c r="C36" s="12">
        <f>'SF_P&amp;L'!D19</f>
        <v>208</v>
      </c>
    </row>
    <row r="37" spans="1:3" x14ac:dyDescent="0.3">
      <c r="A37" s="5" t="s">
        <v>159</v>
      </c>
      <c r="B37" s="12">
        <f>(SF_BS!B35+SF_BS!C35)/2</f>
        <v>59002.5</v>
      </c>
      <c r="C37" s="12">
        <f>(SF_BS!C35+SF_BS!D35)/2</f>
        <v>58245</v>
      </c>
    </row>
    <row r="38" spans="1:3" x14ac:dyDescent="0.3">
      <c r="A38" s="5" t="s">
        <v>161</v>
      </c>
      <c r="B38" s="13">
        <f>B36/B37</f>
        <v>7.0098724630312276E-2</v>
      </c>
      <c r="C38" s="13">
        <f>C36/C37</f>
        <v>3.5711219847197185E-3</v>
      </c>
    </row>
    <row r="40" spans="1:3" x14ac:dyDescent="0.3">
      <c r="A40" s="51" t="s">
        <v>180</v>
      </c>
      <c r="B40" s="13"/>
      <c r="C40" s="13"/>
    </row>
    <row r="41" spans="1:3" x14ac:dyDescent="0.3">
      <c r="A41" s="5" t="s">
        <v>181</v>
      </c>
      <c r="B41" s="12">
        <f>+'SF_P&amp;L'!C7</f>
        <v>26316</v>
      </c>
      <c r="C41" s="12">
        <f>+'SF_P&amp;L'!D7</f>
        <v>22992</v>
      </c>
    </row>
    <row r="42" spans="1:3" x14ac:dyDescent="0.3">
      <c r="A42" s="5" t="s">
        <v>111</v>
      </c>
      <c r="B42" s="12">
        <f>+'SF_P&amp;L'!C4</f>
        <v>34857</v>
      </c>
      <c r="C42" s="12">
        <f>+'SF_P&amp;L'!D4</f>
        <v>31352</v>
      </c>
    </row>
    <row r="43" spans="1:3" x14ac:dyDescent="0.3">
      <c r="A43" s="5" t="s">
        <v>182</v>
      </c>
      <c r="B43" s="13">
        <f>+B41/B42</f>
        <v>0.75497030725535763</v>
      </c>
      <c r="C43" s="13">
        <f>+C41/C42</f>
        <v>0.73335034447563152</v>
      </c>
    </row>
    <row r="45" spans="1:3" x14ac:dyDescent="0.3">
      <c r="A45" s="7" t="s">
        <v>184</v>
      </c>
    </row>
    <row r="46" spans="1:3" x14ac:dyDescent="0.3">
      <c r="A46" s="5" t="s">
        <v>299</v>
      </c>
      <c r="B46" s="15">
        <f>+'SF_P&amp;L'!C13</f>
        <v>21305</v>
      </c>
      <c r="C46" s="15">
        <f>+'SF_P&amp;L'!D13</f>
        <v>21962</v>
      </c>
    </row>
    <row r="47" spans="1:3" x14ac:dyDescent="0.3">
      <c r="A47" s="5" t="s">
        <v>111</v>
      </c>
      <c r="B47" s="12">
        <f>+'SF_P&amp;L'!C4</f>
        <v>34857</v>
      </c>
      <c r="C47" s="12">
        <f>+'SF_P&amp;L'!D4</f>
        <v>31352</v>
      </c>
    </row>
    <row r="48" spans="1:3" x14ac:dyDescent="0.3">
      <c r="A48" s="5" t="s">
        <v>185</v>
      </c>
      <c r="B48" s="13">
        <f>+B46/B47</f>
        <v>0.61121152135869405</v>
      </c>
      <c r="C48" s="13">
        <f>+C46/C47</f>
        <v>0.7004975759122225</v>
      </c>
    </row>
    <row r="50" spans="1:3" x14ac:dyDescent="0.3">
      <c r="A50" s="7" t="s">
        <v>171</v>
      </c>
    </row>
    <row r="51" spans="1:3" x14ac:dyDescent="0.3">
      <c r="A51" s="52" t="s">
        <v>195</v>
      </c>
    </row>
    <row r="52" spans="1:3" x14ac:dyDescent="0.3">
      <c r="A52" s="5" t="s">
        <v>111</v>
      </c>
      <c r="B52" s="12">
        <f>+'SF_P&amp;L'!C4</f>
        <v>34857</v>
      </c>
      <c r="C52" s="12">
        <f>+'SF_P&amp;L'!D4</f>
        <v>31352</v>
      </c>
    </row>
    <row r="53" spans="1:3" x14ac:dyDescent="0.3">
      <c r="A53" s="5" t="s">
        <v>186</v>
      </c>
      <c r="B53" s="12">
        <f>+(SF_BS!B5+SF_BS!C5)/2</f>
        <v>11084.5</v>
      </c>
      <c r="C53" s="12">
        <f>+(SF_BS!C5+SF_BS!D5)/2</f>
        <v>10247</v>
      </c>
    </row>
    <row r="54" spans="1:3" x14ac:dyDescent="0.3">
      <c r="A54" s="5" t="s">
        <v>187</v>
      </c>
      <c r="B54" s="18">
        <f>+B52/B53</f>
        <v>3.1446614642067754</v>
      </c>
      <c r="C54" s="18">
        <f>+C52/C53</f>
        <v>3.0596272079633065</v>
      </c>
    </row>
    <row r="56" spans="1:3" x14ac:dyDescent="0.3">
      <c r="A56" s="52" t="s">
        <v>188</v>
      </c>
    </row>
    <row r="57" spans="1:3" x14ac:dyDescent="0.3">
      <c r="A57" s="19">
        <v>365</v>
      </c>
      <c r="B57" s="5">
        <v>365</v>
      </c>
      <c r="C57" s="5">
        <v>365</v>
      </c>
    </row>
    <row r="58" spans="1:3" x14ac:dyDescent="0.3">
      <c r="A58" s="5" t="s">
        <v>198</v>
      </c>
      <c r="B58" s="18">
        <f>+B54</f>
        <v>3.1446614642067754</v>
      </c>
      <c r="C58" s="18">
        <f>+C54</f>
        <v>3.0596272079633065</v>
      </c>
    </row>
    <row r="59" spans="1:3" x14ac:dyDescent="0.3">
      <c r="A59" s="5" t="s">
        <v>189</v>
      </c>
      <c r="B59" s="18">
        <f>+B57/B58</f>
        <v>116.06972774478584</v>
      </c>
      <c r="C59" s="18">
        <f>+C57/C58</f>
        <v>119.29557922939524</v>
      </c>
    </row>
    <row r="61" spans="1:3" x14ac:dyDescent="0.3">
      <c r="A61" s="52" t="s">
        <v>196</v>
      </c>
    </row>
    <row r="62" spans="1:3" x14ac:dyDescent="0.3">
      <c r="A62" s="19" t="s">
        <v>190</v>
      </c>
      <c r="B62" s="15">
        <f>+'SF_P&amp;L'!C6</f>
        <v>8541</v>
      </c>
      <c r="C62" s="15">
        <f>+'SF_P&amp;L'!D6</f>
        <v>8360</v>
      </c>
    </row>
    <row r="63" spans="1:3" x14ac:dyDescent="0.3">
      <c r="A63" s="5" t="s">
        <v>192</v>
      </c>
      <c r="B63" s="12">
        <f>+(SF_BS!B18+SF_BS!C18)/2</f>
        <v>6427</v>
      </c>
      <c r="C63" s="12">
        <f>+(SF_BS!C18+SF_BS!D18)/2</f>
        <v>6108.5</v>
      </c>
    </row>
    <row r="64" spans="1:3" x14ac:dyDescent="0.3">
      <c r="A64" s="5" t="s">
        <v>191</v>
      </c>
      <c r="B64" s="18">
        <f>+B62/B63</f>
        <v>1.3289248482962501</v>
      </c>
      <c r="C64" s="18">
        <f>+C62/C63</f>
        <v>1.3685847589424571</v>
      </c>
    </row>
    <row r="66" spans="1:3" x14ac:dyDescent="0.3">
      <c r="A66" s="52" t="s">
        <v>193</v>
      </c>
    </row>
    <row r="67" spans="1:3" x14ac:dyDescent="0.3">
      <c r="A67" s="19">
        <v>365</v>
      </c>
      <c r="B67" s="5">
        <v>365</v>
      </c>
      <c r="C67" s="5">
        <v>365</v>
      </c>
    </row>
    <row r="68" spans="1:3" x14ac:dyDescent="0.3">
      <c r="A68" s="5" t="s">
        <v>197</v>
      </c>
      <c r="B68" s="18">
        <f>+B64</f>
        <v>1.3289248482962501</v>
      </c>
      <c r="C68" s="18">
        <f>+C64</f>
        <v>1.3685847589424571</v>
      </c>
    </row>
    <row r="69" spans="1:3" x14ac:dyDescent="0.3">
      <c r="A69" s="5" t="s">
        <v>194</v>
      </c>
      <c r="B69" s="18">
        <f>+B67/B68</f>
        <v>274.65811965811969</v>
      </c>
      <c r="C69" s="18">
        <f>+C67/C68</f>
        <v>266.69886363636368</v>
      </c>
    </row>
    <row r="71" spans="1:3" x14ac:dyDescent="0.3">
      <c r="A71" s="52" t="s">
        <v>199</v>
      </c>
    </row>
    <row r="72" spans="1:3" x14ac:dyDescent="0.3">
      <c r="A72" s="5" t="s">
        <v>189</v>
      </c>
    </row>
    <row r="73" spans="1:3" x14ac:dyDescent="0.3">
      <c r="A73" s="20" t="s">
        <v>200</v>
      </c>
    </row>
    <row r="74" spans="1:3" x14ac:dyDescent="0.3">
      <c r="A74" s="20" t="s">
        <v>201</v>
      </c>
    </row>
    <row r="76" spans="1:3" x14ac:dyDescent="0.3">
      <c r="A76" s="53" t="s">
        <v>176</v>
      </c>
    </row>
    <row r="77" spans="1:3" x14ac:dyDescent="0.3">
      <c r="A77" s="5" t="s">
        <v>111</v>
      </c>
    </row>
    <row r="78" spans="1:3" x14ac:dyDescent="0.3">
      <c r="A78" s="5" t="s">
        <v>202</v>
      </c>
    </row>
    <row r="80" spans="1:3" x14ac:dyDescent="0.3">
      <c r="A80" s="5" t="s">
        <v>203</v>
      </c>
    </row>
    <row r="81" spans="1:3" x14ac:dyDescent="0.3">
      <c r="A81" s="54" t="s">
        <v>177</v>
      </c>
    </row>
    <row r="82" spans="1:3" x14ac:dyDescent="0.3">
      <c r="A82" s="5" t="s">
        <v>204</v>
      </c>
      <c r="B82" s="15">
        <f>+SF_BS!B26</f>
        <v>40177</v>
      </c>
      <c r="C82" s="15">
        <f>+SF_BS!C26</f>
        <v>40490</v>
      </c>
    </row>
    <row r="83" spans="1:3" x14ac:dyDescent="0.3">
      <c r="A83" s="5" t="s">
        <v>205</v>
      </c>
      <c r="B83" s="15">
        <f>+SF_BS!B35</f>
        <v>59646</v>
      </c>
      <c r="C83" s="15">
        <f>+SF_BS!C35</f>
        <v>58359</v>
      </c>
    </row>
    <row r="84" spans="1:3" x14ac:dyDescent="0.3">
      <c r="A84" s="5" t="s">
        <v>177</v>
      </c>
      <c r="B84" s="17">
        <f>+B82/B83</f>
        <v>0.67359085269758245</v>
      </c>
      <c r="C84" s="17">
        <f>+C82/C83</f>
        <v>0.69380900974999571</v>
      </c>
    </row>
    <row r="86" spans="1:3" x14ac:dyDescent="0.3">
      <c r="A86" s="56" t="s">
        <v>178</v>
      </c>
    </row>
    <row r="87" spans="1:3" x14ac:dyDescent="0.3">
      <c r="A87" s="5" t="s">
        <v>206</v>
      </c>
      <c r="B87" s="15">
        <f>+'SF_P&amp;L'!C17+254</f>
        <v>5204</v>
      </c>
      <c r="C87" s="15">
        <f>+'SF_P&amp;L'!D17+275</f>
        <v>935</v>
      </c>
    </row>
    <row r="88" spans="1:3" x14ac:dyDescent="0.3">
      <c r="A88" s="5" t="s">
        <v>207</v>
      </c>
      <c r="B88" s="5">
        <v>254</v>
      </c>
      <c r="C88" s="5">
        <v>275</v>
      </c>
    </row>
    <row r="89" spans="1:3" x14ac:dyDescent="0.3">
      <c r="A89" s="5" t="s">
        <v>178</v>
      </c>
      <c r="B89" s="17">
        <f>+B87/B88</f>
        <v>20.488188976377952</v>
      </c>
      <c r="C89" s="17">
        <f>+C87/C88</f>
        <v>3.4</v>
      </c>
    </row>
    <row r="91" spans="1:3" x14ac:dyDescent="0.3">
      <c r="A91" s="51" t="s">
        <v>209</v>
      </c>
    </row>
    <row r="92" spans="1:3" x14ac:dyDescent="0.3">
      <c r="A92" s="5" t="s">
        <v>210</v>
      </c>
      <c r="B92" s="15">
        <f>+'SF_P&amp;L'!C14*(1-0.16)</f>
        <v>4209.24</v>
      </c>
      <c r="C92" s="15">
        <f>+'SF_P&amp;L'!D14*(1-0.68)</f>
        <v>329.59999999999997</v>
      </c>
    </row>
    <row r="93" spans="1:3" x14ac:dyDescent="0.3">
      <c r="A93" s="5" t="s">
        <v>211</v>
      </c>
      <c r="B93" s="12">
        <f>(((SF_BS!B16-SF_BS!B3-SF_BS!B4)-(SF_BS!B26-SF_BS!B19-SF_BS!B21-SF_BS!B23-SF_BS!B24))+((SF_BS!C16-SF_BS!C3-SF_BS!C4)-(SF_BS!C26-SF_BS!C19-SF_BS!C21-SF_BS!C23-SF_BS!C24)))/2</f>
        <v>58989.5</v>
      </c>
      <c r="C93" s="12">
        <f>(((SF_BS!C16-SF_BS!C3-SF_BS!C4)-(SF_BS!C26-SF_BS!C19-SF_BS!C21-SF_BS!C23-SF_BS!C24))+((SF_BS!D16-SF_BS!D3-SF_BS!D4)-(SF_BS!D26-SF_BS!D19-SF_BS!D21-SF_BS!D23-SF_BS!D24)))/2</f>
        <v>60757</v>
      </c>
    </row>
    <row r="94" spans="1:3" x14ac:dyDescent="0.3">
      <c r="A94" s="30" t="s">
        <v>208</v>
      </c>
      <c r="B94" s="29">
        <f>+B92/B93</f>
        <v>7.1355749752074524E-2</v>
      </c>
      <c r="C94" s="29">
        <f>+C92/C93</f>
        <v>5.4248893131655608E-3</v>
      </c>
    </row>
    <row r="96" spans="1:3" x14ac:dyDescent="0.3">
      <c r="A96" s="52" t="s">
        <v>212</v>
      </c>
    </row>
    <row r="97" spans="1:4" x14ac:dyDescent="0.3">
      <c r="A97" s="5" t="s">
        <v>111</v>
      </c>
      <c r="B97" s="12">
        <f>+'SF_P&amp;L'!C4</f>
        <v>34857</v>
      </c>
      <c r="C97" s="12">
        <f>+'SF_P&amp;L'!D4</f>
        <v>31352</v>
      </c>
    </row>
    <row r="98" spans="1:4" x14ac:dyDescent="0.3">
      <c r="A98" s="5" t="s">
        <v>211</v>
      </c>
      <c r="B98" s="12">
        <f>+B93</f>
        <v>58989.5</v>
      </c>
      <c r="C98" s="12">
        <f>+C93</f>
        <v>60757</v>
      </c>
    </row>
    <row r="99" spans="1:4" x14ac:dyDescent="0.3">
      <c r="A99" s="5" t="s">
        <v>213</v>
      </c>
      <c r="B99" s="18">
        <f>+B97/B98</f>
        <v>0.59090177065409943</v>
      </c>
      <c r="C99" s="18">
        <f>+C97/C98</f>
        <v>0.51602284510426777</v>
      </c>
    </row>
    <row r="101" spans="1:4" x14ac:dyDescent="0.3">
      <c r="A101" s="51" t="s">
        <v>214</v>
      </c>
    </row>
    <row r="102" spans="1:4" x14ac:dyDescent="0.3">
      <c r="A102" s="5" t="s">
        <v>215</v>
      </c>
      <c r="B102" s="12">
        <f>+'SF_P&amp;L'!C14*(1-0.16)</f>
        <v>4209.24</v>
      </c>
      <c r="C102" s="12">
        <f>+'SF_P&amp;L'!D14*(1-0.68)</f>
        <v>329.59999999999997</v>
      </c>
    </row>
    <row r="103" spans="1:4" x14ac:dyDescent="0.3">
      <c r="A103" s="5" t="s">
        <v>111</v>
      </c>
      <c r="B103" s="12">
        <f>+'SF_P&amp;L'!C4</f>
        <v>34857</v>
      </c>
      <c r="C103" s="12">
        <f>+'SF_P&amp;L'!D4</f>
        <v>31352</v>
      </c>
    </row>
    <row r="104" spans="1:4" x14ac:dyDescent="0.3">
      <c r="A104" s="5" t="s">
        <v>216</v>
      </c>
      <c r="B104" s="13">
        <f>+B102/B103</f>
        <v>0.12075738015319734</v>
      </c>
      <c r="C104" s="13">
        <f>+C102/C103</f>
        <v>1.051288594029089E-2</v>
      </c>
    </row>
    <row r="105" spans="1:4" x14ac:dyDescent="0.3">
      <c r="B105" s="13"/>
      <c r="C105" s="13"/>
    </row>
    <row r="106" spans="1:4" x14ac:dyDescent="0.25">
      <c r="A106" s="28" t="s">
        <v>250</v>
      </c>
      <c r="B106" s="29">
        <f>+B99*B104</f>
        <v>7.135574975207451E-2</v>
      </c>
      <c r="C106" s="29">
        <f>+C99*C104</f>
        <v>5.4248893131655599E-3</v>
      </c>
    </row>
    <row r="108" spans="1:4" x14ac:dyDescent="0.3">
      <c r="A108" s="7" t="s">
        <v>219</v>
      </c>
    </row>
    <row r="109" spans="1:4" x14ac:dyDescent="0.3">
      <c r="A109" s="5" t="s">
        <v>217</v>
      </c>
      <c r="B109" s="15">
        <f>+SF_BS!B19+SF_BS!B21+SF_BS!B23+SF_BS!B24</f>
        <v>12588</v>
      </c>
      <c r="C109" s="15">
        <f>+SF_BS!C19+SF_BS!C21+SF_BS!C23+SF_BS!C24</f>
        <v>14088</v>
      </c>
      <c r="D109" s="15">
        <f>+SF_BS!D19+SF_BS!D21+SF_BS!D23+SF_BS!D24</f>
        <v>13981</v>
      </c>
    </row>
    <row r="110" spans="1:4" x14ac:dyDescent="0.3">
      <c r="A110" s="5" t="s">
        <v>218</v>
      </c>
      <c r="B110" s="15">
        <f>+SF_BS!B3+SF_BS!B4</f>
        <v>14194</v>
      </c>
      <c r="C110" s="15">
        <f>+SF_BS!C3+SF_BS!C4</f>
        <v>12508</v>
      </c>
      <c r="D110" s="15">
        <f>+SF_BS!D3+SF_BS!D4</f>
        <v>10537</v>
      </c>
    </row>
    <row r="111" spans="1:4" x14ac:dyDescent="0.3">
      <c r="A111" s="5" t="s">
        <v>220</v>
      </c>
      <c r="B111" s="15">
        <f>+B109-B110</f>
        <v>-1606</v>
      </c>
      <c r="C111" s="15">
        <f>+C109-C110</f>
        <v>1580</v>
      </c>
      <c r="D111" s="15">
        <f>+D109-D110</f>
        <v>3444</v>
      </c>
    </row>
    <row r="113" spans="1:3" x14ac:dyDescent="0.3">
      <c r="A113" s="7" t="s">
        <v>224</v>
      </c>
    </row>
    <row r="114" spans="1:3" x14ac:dyDescent="0.3">
      <c r="A114" s="5" t="s">
        <v>225</v>
      </c>
      <c r="B114" s="15">
        <f>-'SF_P&amp;L'!C15-'SF_P&amp;L'!C16</f>
        <v>61</v>
      </c>
      <c r="C114" s="15">
        <f>-'SF_P&amp;L'!D15-'SF_P&amp;L'!D16</f>
        <v>370</v>
      </c>
    </row>
    <row r="115" spans="1:3" x14ac:dyDescent="0.3">
      <c r="A115" s="5" t="s">
        <v>226</v>
      </c>
      <c r="B115" s="15">
        <f>+(B111+C111)/2</f>
        <v>-13</v>
      </c>
      <c r="C115" s="15">
        <f>+(C111+D111)/2</f>
        <v>2512</v>
      </c>
    </row>
    <row r="116" spans="1:3" x14ac:dyDescent="0.3">
      <c r="A116" s="5" t="s">
        <v>227</v>
      </c>
      <c r="B116" s="21">
        <f>+B114/B115</f>
        <v>-4.6923076923076925</v>
      </c>
      <c r="C116" s="21">
        <f>+C114/C115</f>
        <v>0.14729299363057324</v>
      </c>
    </row>
    <row r="117" spans="1:3" x14ac:dyDescent="0.3">
      <c r="B117" s="21"/>
      <c r="C117" s="21"/>
    </row>
    <row r="118" spans="1:3" x14ac:dyDescent="0.3">
      <c r="A118" s="7" t="s">
        <v>221</v>
      </c>
      <c r="B118" s="22"/>
      <c r="C118" s="22"/>
    </row>
    <row r="119" spans="1:3" x14ac:dyDescent="0.3">
      <c r="A119" s="5" t="s">
        <v>228</v>
      </c>
      <c r="B119" s="12">
        <f>+(B111+C111)/2</f>
        <v>-13</v>
      </c>
      <c r="C119" s="12">
        <f>+(C111+D111)/2</f>
        <v>2512</v>
      </c>
    </row>
    <row r="120" spans="1:3" x14ac:dyDescent="0.3">
      <c r="A120" s="5" t="s">
        <v>229</v>
      </c>
      <c r="B120" s="12">
        <f>+(SF_BS!B35+SF_BS!C35)/2</f>
        <v>59002.5</v>
      </c>
      <c r="C120" s="12">
        <f>+(SF_BS!C35+SF_BS!D35)/2</f>
        <v>58245</v>
      </c>
    </row>
    <row r="121" spans="1:3" x14ac:dyDescent="0.3">
      <c r="A121" s="5" t="s">
        <v>221</v>
      </c>
      <c r="B121" s="22">
        <f>+B119/B120</f>
        <v>-2.2032964704885385E-4</v>
      </c>
      <c r="C121" s="22">
        <f>+C119/C120</f>
        <v>4.3128165507768906E-2</v>
      </c>
    </row>
    <row r="123" spans="1:3" x14ac:dyDescent="0.3">
      <c r="A123" s="5" t="s">
        <v>222</v>
      </c>
    </row>
    <row r="124" spans="1:3" x14ac:dyDescent="0.3">
      <c r="A124" s="5" t="s">
        <v>208</v>
      </c>
      <c r="B124" s="13">
        <f>+B94</f>
        <v>7.1355749752074524E-2</v>
      </c>
      <c r="C124" s="13">
        <f>+C94</f>
        <v>5.4248893131655608E-3</v>
      </c>
    </row>
    <row r="125" spans="1:3" x14ac:dyDescent="0.3">
      <c r="A125" s="20" t="s">
        <v>223</v>
      </c>
      <c r="B125" s="13">
        <f>+B116</f>
        <v>-4.6923076923076925</v>
      </c>
      <c r="C125" s="13">
        <f>+C116</f>
        <v>0.14729299363057324</v>
      </c>
    </row>
    <row r="126" spans="1:3" x14ac:dyDescent="0.3">
      <c r="A126" s="5" t="s">
        <v>222</v>
      </c>
      <c r="B126" s="23">
        <f>+B124-B125</f>
        <v>4.7636634420597668</v>
      </c>
      <c r="C126" s="23">
        <f>+C124-C125</f>
        <v>-0.14186810431740768</v>
      </c>
    </row>
    <row r="128" spans="1:3" x14ac:dyDescent="0.3">
      <c r="A128" s="7" t="s">
        <v>230</v>
      </c>
    </row>
    <row r="129" spans="1:4" x14ac:dyDescent="0.3">
      <c r="A129" s="5" t="s">
        <v>221</v>
      </c>
      <c r="B129" s="24">
        <f>+B121</f>
        <v>-2.2032964704885385E-4</v>
      </c>
      <c r="C129" s="24">
        <f>+C121</f>
        <v>4.3128165507768906E-2</v>
      </c>
    </row>
    <row r="130" spans="1:4" x14ac:dyDescent="0.3">
      <c r="A130" s="5" t="s">
        <v>222</v>
      </c>
      <c r="B130" s="17">
        <f>+B126</f>
        <v>4.7636634420597668</v>
      </c>
      <c r="C130" s="17">
        <f>+C126</f>
        <v>-0.14186810431740768</v>
      </c>
    </row>
    <row r="131" spans="1:4" x14ac:dyDescent="0.3">
      <c r="A131" s="7" t="s">
        <v>231</v>
      </c>
      <c r="B131" s="13">
        <f>+B129*B130</f>
        <v>-1.0495762848485566E-3</v>
      </c>
      <c r="C131" s="13">
        <f>+C129*C130</f>
        <v>-6.1185110832745826E-3</v>
      </c>
    </row>
    <row r="133" spans="1:4" x14ac:dyDescent="0.3">
      <c r="A133" s="56" t="s">
        <v>233</v>
      </c>
    </row>
    <row r="134" spans="1:4" x14ac:dyDescent="0.3">
      <c r="A134" s="5" t="s">
        <v>232</v>
      </c>
      <c r="B134" s="15">
        <f>+SF_CF!B17</f>
        <v>10234</v>
      </c>
      <c r="C134" s="15">
        <f>+SF_CF!C17</f>
        <v>7111</v>
      </c>
    </row>
    <row r="135" spans="1:4" x14ac:dyDescent="0.3">
      <c r="A135" s="5" t="s">
        <v>234</v>
      </c>
      <c r="B135" s="15">
        <f>+(SF_BS!B19+SF_BS!B21+SF_BS!B23+SF_BS!B24)</f>
        <v>12588</v>
      </c>
      <c r="C135" s="15">
        <f>+(SF_BS!C19+SF_BS!C21+SF_BS!C23+SF_BS!C24)</f>
        <v>14088</v>
      </c>
      <c r="D135" s="15"/>
    </row>
    <row r="136" spans="1:4" x14ac:dyDescent="0.3">
      <c r="A136" s="5" t="s">
        <v>233</v>
      </c>
      <c r="B136" s="17">
        <f>+B134/B135</f>
        <v>0.81299650460756279</v>
      </c>
      <c r="C136" s="17">
        <f>+C134/C135</f>
        <v>0.50475582055650203</v>
      </c>
    </row>
    <row r="138" spans="1:4" x14ac:dyDescent="0.3">
      <c r="A138" s="56" t="s">
        <v>235</v>
      </c>
    </row>
    <row r="139" spans="1:4" x14ac:dyDescent="0.3">
      <c r="A139" s="5" t="s">
        <v>236</v>
      </c>
      <c r="B139" s="15">
        <f>+SF_CF!B17+SF_CF!B25</f>
        <v>9498</v>
      </c>
      <c r="C139" s="15">
        <f>+SF_CF!C17+SF_CF!C25</f>
        <v>6313</v>
      </c>
    </row>
    <row r="140" spans="1:4" x14ac:dyDescent="0.3">
      <c r="A140" s="5" t="s">
        <v>234</v>
      </c>
      <c r="B140" s="15">
        <f>+SF_BS!B19+SF_BS!B21+SF_BS!B23+SF_BS!B24</f>
        <v>12588</v>
      </c>
      <c r="C140" s="15">
        <f>+SF_BS!C19+SF_BS!C21+SF_BS!C23+SF_BS!C24</f>
        <v>14088</v>
      </c>
    </row>
    <row r="141" spans="1:4" x14ac:dyDescent="0.3">
      <c r="A141" s="5" t="s">
        <v>235</v>
      </c>
      <c r="B141" s="17">
        <f>+B139/B140</f>
        <v>0.7545281220209723</v>
      </c>
      <c r="C141" s="17">
        <f>+C139/C140</f>
        <v>0.44811186825667232</v>
      </c>
    </row>
    <row r="143" spans="1:4" x14ac:dyDescent="0.3">
      <c r="A143" s="55" t="s">
        <v>300</v>
      </c>
    </row>
    <row r="144" spans="1:4" x14ac:dyDescent="0.3">
      <c r="A144" s="5" t="s">
        <v>301</v>
      </c>
      <c r="B144" s="15">
        <f>+SF_BS!B8</f>
        <v>29074</v>
      </c>
      <c r="C144" s="15">
        <f>+SF_BS!C8</f>
        <v>26395</v>
      </c>
    </row>
    <row r="145" spans="1:7" x14ac:dyDescent="0.3">
      <c r="A145" s="5" t="s">
        <v>239</v>
      </c>
      <c r="B145" s="15">
        <f>+SF_BS!B22</f>
        <v>26631</v>
      </c>
      <c r="C145" s="15">
        <f>+SF_BS!C22</f>
        <v>25891</v>
      </c>
    </row>
    <row r="146" spans="1:7" x14ac:dyDescent="0.3">
      <c r="A146" s="5" t="s">
        <v>140</v>
      </c>
      <c r="B146" s="17">
        <f>+B144/B145</f>
        <v>1.0917351958244152</v>
      </c>
      <c r="C146" s="17">
        <f>+C144/C145</f>
        <v>1.0194662237843266</v>
      </c>
    </row>
    <row r="148" spans="1:7" x14ac:dyDescent="0.3">
      <c r="A148" s="55" t="s">
        <v>237</v>
      </c>
    </row>
    <row r="149" spans="1:7" x14ac:dyDescent="0.3">
      <c r="A149" s="5" t="s">
        <v>238</v>
      </c>
      <c r="B149" s="15">
        <f>+SF_BS!B3+SF_BS!B4+SF_BS!B5</f>
        <v>25608</v>
      </c>
      <c r="C149" s="15">
        <f>+SF_BS!C3+SF_BS!C4+SF_BS!C5</f>
        <v>23263</v>
      </c>
    </row>
    <row r="150" spans="1:7" x14ac:dyDescent="0.3">
      <c r="A150" s="5" t="s">
        <v>239</v>
      </c>
      <c r="B150" s="15">
        <f>+SF_BS!B22</f>
        <v>26631</v>
      </c>
      <c r="C150" s="15">
        <f>+SF_BS!C22</f>
        <v>25891</v>
      </c>
    </row>
    <row r="151" spans="1:7" x14ac:dyDescent="0.3">
      <c r="A151" s="5" t="s">
        <v>237</v>
      </c>
      <c r="B151" s="17">
        <f>+B149/B150</f>
        <v>0.9615861214374225</v>
      </c>
      <c r="C151" s="17">
        <f>+C149/C150</f>
        <v>0.89849754741029697</v>
      </c>
    </row>
    <row r="153" spans="1:7" x14ac:dyDescent="0.3">
      <c r="A153" s="55" t="s">
        <v>240</v>
      </c>
    </row>
    <row r="154" spans="1:7" x14ac:dyDescent="0.3">
      <c r="A154" s="5" t="s">
        <v>241</v>
      </c>
      <c r="B154" s="15">
        <f>+SF_BS!B23+SF_BS!B24+SF_BS!B21+SF_BS!B19</f>
        <v>12588</v>
      </c>
      <c r="C154" s="15">
        <f>+SF_BS!C23+SF_BS!C24+SF_BS!C21+SF_BS!C19</f>
        <v>14088</v>
      </c>
    </row>
    <row r="155" spans="1:7" x14ac:dyDescent="0.3">
      <c r="A155" s="5" t="s">
        <v>205</v>
      </c>
      <c r="B155" s="15">
        <f>+SF_BS!B35</f>
        <v>59646</v>
      </c>
      <c r="C155" s="15">
        <f>+SF_BS!C35</f>
        <v>58359</v>
      </c>
    </row>
    <row r="156" spans="1:7" x14ac:dyDescent="0.3">
      <c r="A156" s="5" t="s">
        <v>240</v>
      </c>
      <c r="B156" s="17">
        <f>+B154/B155</f>
        <v>0.21104516648224525</v>
      </c>
      <c r="C156" s="17">
        <f>+C154/C155</f>
        <v>0.24140235439263866</v>
      </c>
    </row>
    <row r="158" spans="1:7" ht="16.8" x14ac:dyDescent="0.4">
      <c r="A158" s="5" t="s">
        <v>242</v>
      </c>
      <c r="B158" s="25" t="s">
        <v>243</v>
      </c>
    </row>
    <row r="159" spans="1:7" ht="16.8" x14ac:dyDescent="0.4">
      <c r="A159" s="26" t="s">
        <v>247</v>
      </c>
      <c r="B159" s="173">
        <v>2024</v>
      </c>
      <c r="C159" s="173"/>
      <c r="D159" s="173"/>
      <c r="E159" s="173">
        <v>2024</v>
      </c>
      <c r="F159" s="173"/>
      <c r="G159" s="173"/>
    </row>
    <row r="160" spans="1:7" x14ac:dyDescent="0.3">
      <c r="A160" s="5" t="s">
        <v>119</v>
      </c>
      <c r="B160" s="15">
        <f>SF_BS!B8-SF_BS!B22</f>
        <v>2443</v>
      </c>
      <c r="E160" s="15">
        <f>SF_BS!C8-SF_BS!C22</f>
        <v>504</v>
      </c>
    </row>
    <row r="161" spans="1:7" x14ac:dyDescent="0.3">
      <c r="A161" s="5" t="s">
        <v>244</v>
      </c>
      <c r="B161" s="15">
        <f>+SF_BS!B16</f>
        <v>99823</v>
      </c>
      <c r="C161" s="17">
        <f>+B160/B161</f>
        <v>2.4473317772457249E-2</v>
      </c>
      <c r="D161" s="5">
        <v>1.2</v>
      </c>
      <c r="E161" s="15">
        <f>+SF_BS!C16</f>
        <v>98849</v>
      </c>
      <c r="F161" s="17">
        <f>+E160/E161</f>
        <v>5.0986858744145108E-3</v>
      </c>
      <c r="G161" s="5">
        <v>1.2</v>
      </c>
    </row>
    <row r="163" spans="1:7" x14ac:dyDescent="0.3">
      <c r="A163" s="5" t="s">
        <v>37</v>
      </c>
      <c r="B163" s="15">
        <f>+SF_BS!B34</f>
        <v>11721</v>
      </c>
      <c r="E163" s="15">
        <f>+SF_BS!C34</f>
        <v>7585</v>
      </c>
    </row>
    <row r="164" spans="1:7" x14ac:dyDescent="0.3">
      <c r="A164" s="5" t="s">
        <v>244</v>
      </c>
      <c r="B164" s="15">
        <f>+SF_BS!B16</f>
        <v>99823</v>
      </c>
      <c r="C164" s="17">
        <f>+B163/B164</f>
        <v>0.11741782955831823</v>
      </c>
      <c r="D164" s="5">
        <v>1.4</v>
      </c>
      <c r="E164" s="15">
        <f>+SF_BS!C16</f>
        <v>98849</v>
      </c>
      <c r="F164" s="17">
        <f>+E163/E164</f>
        <v>7.6733199121892984E-2</v>
      </c>
      <c r="G164" s="5">
        <v>1.4</v>
      </c>
    </row>
    <row r="166" spans="1:7" x14ac:dyDescent="0.3">
      <c r="A166" s="5" t="s">
        <v>245</v>
      </c>
      <c r="B166" s="15">
        <f>'SF_P&amp;L'!C17+254</f>
        <v>5204</v>
      </c>
      <c r="E166" s="15">
        <f>'SF_P&amp;L'!D17+275</f>
        <v>935</v>
      </c>
    </row>
    <row r="167" spans="1:7" x14ac:dyDescent="0.3">
      <c r="A167" s="5" t="s">
        <v>244</v>
      </c>
      <c r="B167" s="15">
        <f>+SF_BS!B16</f>
        <v>99823</v>
      </c>
      <c r="C167" s="17">
        <f>+B166/B167</f>
        <v>5.2132274125201605E-2</v>
      </c>
      <c r="D167" s="5">
        <v>3.3</v>
      </c>
      <c r="E167" s="15">
        <f>+SF_BS!C16</f>
        <v>98849</v>
      </c>
      <c r="F167" s="17">
        <f>+E166/E167</f>
        <v>9.458871612257079E-3</v>
      </c>
      <c r="G167" s="5">
        <v>3.3</v>
      </c>
    </row>
    <row r="169" spans="1:7" x14ac:dyDescent="0.3">
      <c r="A169" s="5" t="s">
        <v>246</v>
      </c>
      <c r="B169" s="12">
        <f>971*287.35</f>
        <v>279016.85000000003</v>
      </c>
      <c r="E169" s="12">
        <f>981*164.54</f>
        <v>161413.74</v>
      </c>
    </row>
    <row r="170" spans="1:7" x14ac:dyDescent="0.3">
      <c r="A170" s="5" t="s">
        <v>204</v>
      </c>
      <c r="B170" s="12">
        <f>+SF_BS!B26</f>
        <v>40177</v>
      </c>
      <c r="C170" s="17">
        <f>+B169/B170</f>
        <v>6.9446909923588134</v>
      </c>
      <c r="D170" s="5">
        <v>0.6</v>
      </c>
      <c r="E170" s="12">
        <f>+SF_BS!C26</f>
        <v>40490</v>
      </c>
      <c r="F170" s="17">
        <f>+E169/E170</f>
        <v>3.9865087675969373</v>
      </c>
      <c r="G170" s="5">
        <v>0.6</v>
      </c>
    </row>
    <row r="171" spans="1:7" x14ac:dyDescent="0.3">
      <c r="B171" s="12"/>
      <c r="E171" s="12"/>
    </row>
    <row r="172" spans="1:7" x14ac:dyDescent="0.3">
      <c r="A172" s="5" t="s">
        <v>111</v>
      </c>
      <c r="B172" s="12">
        <f>+'SF_P&amp;L'!C4</f>
        <v>34857</v>
      </c>
      <c r="E172" s="12">
        <f>+'SF_P&amp;L'!D4</f>
        <v>31352</v>
      </c>
    </row>
    <row r="173" spans="1:7" x14ac:dyDescent="0.3">
      <c r="A173" s="5" t="s">
        <v>244</v>
      </c>
      <c r="B173" s="12">
        <f>+SF_BS!B16</f>
        <v>99823</v>
      </c>
      <c r="C173" s="17">
        <f>+B172/B173</f>
        <v>0.34918806287128218</v>
      </c>
      <c r="D173" s="5">
        <v>0.99</v>
      </c>
      <c r="E173" s="12">
        <f>+SF_BS!C16</f>
        <v>98849</v>
      </c>
      <c r="F173" s="17">
        <f>+E172/E173</f>
        <v>0.31717063399730905</v>
      </c>
      <c r="G173" s="5">
        <v>0.99</v>
      </c>
    </row>
    <row r="174" spans="1:7" x14ac:dyDescent="0.3">
      <c r="A174" s="7" t="s">
        <v>248</v>
      </c>
      <c r="D174" s="27">
        <f>+C161*D161+C164*D164+C167*D167+C170*D170+C173*D173</f>
        <v>4.8783002249796175</v>
      </c>
      <c r="G174" s="27">
        <f>+F161*G161+F164*G164+F167*G167+F170*G170+F173*G173</f>
        <v>2.850663366355894</v>
      </c>
    </row>
    <row r="176" spans="1:7" x14ac:dyDescent="0.3">
      <c r="A176" t="s">
        <v>120</v>
      </c>
      <c r="B176">
        <v>971</v>
      </c>
      <c r="C176" s="5">
        <v>981</v>
      </c>
    </row>
    <row r="177" spans="1:3" x14ac:dyDescent="0.3">
      <c r="A177" s="5" t="s">
        <v>249</v>
      </c>
      <c r="B177">
        <v>287.35000000000002</v>
      </c>
      <c r="C177" s="5">
        <v>164.54</v>
      </c>
    </row>
    <row r="178" spans="1:3" x14ac:dyDescent="0.3">
      <c r="A178" t="s">
        <v>121</v>
      </c>
      <c r="B178" s="4">
        <f>+B176*B177</f>
        <v>279016.85000000003</v>
      </c>
      <c r="C178" s="4">
        <f>+C176*C177</f>
        <v>161413.74</v>
      </c>
    </row>
    <row r="179" spans="1:3" x14ac:dyDescent="0.3">
      <c r="A179" t="s">
        <v>122</v>
      </c>
      <c r="B179" s="3">
        <f>+SF_BS!B35</f>
        <v>59646</v>
      </c>
      <c r="C179" s="3">
        <f>+SF_BS!C35</f>
        <v>58359</v>
      </c>
    </row>
    <row r="180" spans="1:3" x14ac:dyDescent="0.3">
      <c r="A180" s="1" t="s">
        <v>123</v>
      </c>
      <c r="B180" s="2">
        <f>+B178/B179</f>
        <v>4.6778803272641927</v>
      </c>
      <c r="C180" s="2">
        <f>+C178/C179</f>
        <v>2.7658757004061068</v>
      </c>
    </row>
    <row r="181" spans="1:3" x14ac:dyDescent="0.3">
      <c r="A181"/>
      <c r="B181"/>
    </row>
    <row r="182" spans="1:3" x14ac:dyDescent="0.3">
      <c r="A182" t="s">
        <v>124</v>
      </c>
      <c r="B182" s="3">
        <f>+SF_BS!B35-SF_BS!B31</f>
        <v>71338</v>
      </c>
      <c r="C182" s="3">
        <f>+SF_BS!C35-SF_BS!C31</f>
        <v>62359</v>
      </c>
    </row>
    <row r="183" spans="1:3" x14ac:dyDescent="0.3">
      <c r="A183" t="s">
        <v>125</v>
      </c>
      <c r="B183" s="2">
        <f>+B178/B182</f>
        <v>3.9111952956348657</v>
      </c>
      <c r="C183" s="2">
        <f>+C178/C182</f>
        <v>2.5884594044163634</v>
      </c>
    </row>
  </sheetData>
  <mergeCells count="2">
    <mergeCell ref="B159:D159"/>
    <mergeCell ref="E159:G15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0B21-8B6E-4891-8A64-C61B843931FC}">
  <sheetPr>
    <tabColor theme="1"/>
  </sheetPr>
  <dimension ref="A1"/>
  <sheetViews>
    <sheetView workbookViewId="0"/>
  </sheetViews>
  <sheetFormatPr defaultRowHeight="15.6" x14ac:dyDescent="0.3"/>
  <cols>
    <col min="1" max="16384" width="8.88671875" style="60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C736-E3DF-4AE8-B54C-28F8E8BB952A}">
  <dimension ref="A1:E42"/>
  <sheetViews>
    <sheetView workbookViewId="0">
      <selection activeCell="A30" sqref="A30"/>
    </sheetView>
  </sheetViews>
  <sheetFormatPr defaultRowHeight="15.6" x14ac:dyDescent="0.3"/>
  <cols>
    <col min="1" max="1" width="80.77734375" style="60" customWidth="1"/>
    <col min="2" max="4" width="14.33203125" style="60" customWidth="1"/>
    <col min="5" max="5" width="12.6640625" style="60" customWidth="1"/>
    <col min="6" max="16384" width="8.88671875" style="60"/>
  </cols>
  <sheetData>
    <row r="1" spans="1:4" x14ac:dyDescent="0.3">
      <c r="A1" s="102" t="s">
        <v>0</v>
      </c>
      <c r="B1" s="101" t="s">
        <v>1</v>
      </c>
      <c r="C1" s="101" t="s">
        <v>2</v>
      </c>
      <c r="D1" s="60" t="s">
        <v>42</v>
      </c>
    </row>
    <row r="2" spans="1:4" x14ac:dyDescent="0.3">
      <c r="A2" s="96" t="s">
        <v>3</v>
      </c>
      <c r="B2" s="97" t="s">
        <v>4</v>
      </c>
      <c r="C2" s="97" t="s">
        <v>4</v>
      </c>
    </row>
    <row r="3" spans="1:4" x14ac:dyDescent="0.3">
      <c r="A3" s="97" t="s">
        <v>5</v>
      </c>
      <c r="B3" s="92">
        <v>8472</v>
      </c>
      <c r="C3" s="92">
        <v>7016</v>
      </c>
      <c r="D3" s="92">
        <v>5464</v>
      </c>
    </row>
    <row r="4" spans="1:4" x14ac:dyDescent="0.3">
      <c r="A4" s="97" t="s">
        <v>6</v>
      </c>
      <c r="B4" s="93">
        <v>5722</v>
      </c>
      <c r="C4" s="93">
        <v>5492</v>
      </c>
      <c r="D4" s="93">
        <v>5073</v>
      </c>
    </row>
    <row r="5" spans="1:4" x14ac:dyDescent="0.3">
      <c r="A5" s="97" t="s">
        <v>7</v>
      </c>
      <c r="B5" s="93">
        <v>11414</v>
      </c>
      <c r="C5" s="93">
        <v>10755</v>
      </c>
      <c r="D5" s="93">
        <v>9739</v>
      </c>
    </row>
    <row r="6" spans="1:4" x14ac:dyDescent="0.3">
      <c r="A6" s="97" t="s">
        <v>8</v>
      </c>
      <c r="B6" s="93">
        <v>1905</v>
      </c>
      <c r="C6" s="93">
        <v>1776</v>
      </c>
      <c r="D6" s="93">
        <v>1454</v>
      </c>
    </row>
    <row r="7" spans="1:4" x14ac:dyDescent="0.3">
      <c r="A7" s="97" t="s">
        <v>9</v>
      </c>
      <c r="B7" s="93">
        <v>1561</v>
      </c>
      <c r="C7" s="93">
        <v>1356</v>
      </c>
      <c r="D7" s="93">
        <v>1120</v>
      </c>
    </row>
    <row r="8" spans="1:4" x14ac:dyDescent="0.3">
      <c r="A8" s="97" t="s">
        <v>10</v>
      </c>
      <c r="B8" s="93">
        <v>29074</v>
      </c>
      <c r="C8" s="93">
        <v>26395</v>
      </c>
      <c r="D8" s="93">
        <v>22850</v>
      </c>
    </row>
    <row r="9" spans="1:4" x14ac:dyDescent="0.3">
      <c r="A9" s="97" t="s">
        <v>11</v>
      </c>
      <c r="B9" s="93">
        <v>3689</v>
      </c>
      <c r="C9" s="93">
        <v>3702</v>
      </c>
      <c r="D9" s="93">
        <v>2815</v>
      </c>
    </row>
    <row r="10" spans="1:4" x14ac:dyDescent="0.3">
      <c r="A10" s="97" t="s">
        <v>12</v>
      </c>
      <c r="B10" s="93">
        <v>2366</v>
      </c>
      <c r="C10" s="93">
        <v>2890</v>
      </c>
      <c r="D10" s="93">
        <v>2880</v>
      </c>
    </row>
    <row r="11" spans="1:4" x14ac:dyDescent="0.3">
      <c r="A11" s="97" t="s">
        <v>13</v>
      </c>
      <c r="B11" s="93">
        <v>2515</v>
      </c>
      <c r="C11" s="93">
        <v>2697</v>
      </c>
      <c r="D11" s="93">
        <v>2342</v>
      </c>
    </row>
    <row r="12" spans="1:4" x14ac:dyDescent="0.3">
      <c r="A12" s="97" t="s">
        <v>14</v>
      </c>
      <c r="B12" s="93">
        <v>4848</v>
      </c>
      <c r="C12" s="93">
        <v>4672</v>
      </c>
      <c r="D12" s="93">
        <v>4784</v>
      </c>
    </row>
    <row r="13" spans="1:4" x14ac:dyDescent="0.3">
      <c r="A13" s="97" t="s">
        <v>15</v>
      </c>
      <c r="B13" s="93">
        <v>48620</v>
      </c>
      <c r="C13" s="93">
        <v>48568</v>
      </c>
      <c r="D13" s="93">
        <v>47937</v>
      </c>
    </row>
    <row r="14" spans="1:4" x14ac:dyDescent="0.3">
      <c r="A14" s="97" t="s">
        <v>16</v>
      </c>
      <c r="B14" s="93">
        <v>5278</v>
      </c>
      <c r="C14" s="93">
        <v>7125</v>
      </c>
      <c r="D14" s="93">
        <v>8978</v>
      </c>
    </row>
    <row r="15" spans="1:4" x14ac:dyDescent="0.3">
      <c r="A15" s="97" t="s">
        <v>17</v>
      </c>
      <c r="B15" s="93">
        <v>3433</v>
      </c>
      <c r="C15" s="93">
        <v>2800</v>
      </c>
      <c r="D15" s="93">
        <v>2623</v>
      </c>
    </row>
    <row r="16" spans="1:4" x14ac:dyDescent="0.3">
      <c r="A16" s="97" t="s">
        <v>18</v>
      </c>
      <c r="B16" s="93">
        <v>99823</v>
      </c>
      <c r="C16" s="93">
        <v>98849</v>
      </c>
      <c r="D16" s="93">
        <v>95209</v>
      </c>
    </row>
    <row r="17" spans="1:4" x14ac:dyDescent="0.3">
      <c r="A17" s="96" t="s">
        <v>19</v>
      </c>
      <c r="B17" s="97" t="s">
        <v>4</v>
      </c>
      <c r="C17" s="97" t="s">
        <v>4</v>
      </c>
    </row>
    <row r="18" spans="1:4" x14ac:dyDescent="0.3">
      <c r="A18" s="97" t="s">
        <v>20</v>
      </c>
      <c r="B18" s="93">
        <v>6111</v>
      </c>
      <c r="C18" s="93">
        <v>6743</v>
      </c>
      <c r="D18" s="93">
        <v>5474</v>
      </c>
    </row>
    <row r="19" spans="1:4" x14ac:dyDescent="0.3">
      <c r="A19" s="97" t="s">
        <v>21</v>
      </c>
      <c r="B19" s="93">
        <v>518</v>
      </c>
      <c r="C19" s="93">
        <v>590</v>
      </c>
      <c r="D19" s="93">
        <v>686</v>
      </c>
    </row>
    <row r="20" spans="1:4" x14ac:dyDescent="0.3">
      <c r="A20" s="97" t="s">
        <v>22</v>
      </c>
      <c r="B20" s="93">
        <v>19003</v>
      </c>
      <c r="C20" s="93">
        <v>17376</v>
      </c>
      <c r="D20" s="93">
        <v>15628</v>
      </c>
    </row>
    <row r="21" spans="1:4" x14ac:dyDescent="0.3">
      <c r="A21" s="97" t="s">
        <v>23</v>
      </c>
      <c r="B21" s="93">
        <v>999</v>
      </c>
      <c r="C21" s="93">
        <v>1182</v>
      </c>
      <c r="D21" s="60">
        <v>0</v>
      </c>
    </row>
    <row r="22" spans="1:4" x14ac:dyDescent="0.3">
      <c r="A22" s="97" t="s">
        <v>24</v>
      </c>
      <c r="B22" s="93">
        <v>26631</v>
      </c>
      <c r="C22" s="93">
        <v>25891</v>
      </c>
      <c r="D22" s="93">
        <v>21788</v>
      </c>
    </row>
    <row r="23" spans="1:4" x14ac:dyDescent="0.3">
      <c r="A23" s="97" t="s">
        <v>25</v>
      </c>
      <c r="B23" s="93">
        <v>8427</v>
      </c>
      <c r="C23" s="93">
        <v>9419</v>
      </c>
      <c r="D23" s="93">
        <v>10592</v>
      </c>
    </row>
    <row r="24" spans="1:4" x14ac:dyDescent="0.3">
      <c r="A24" s="97" t="s">
        <v>26</v>
      </c>
      <c r="B24" s="93">
        <v>2644</v>
      </c>
      <c r="C24" s="93">
        <v>2897</v>
      </c>
      <c r="D24" s="93">
        <v>2703</v>
      </c>
    </row>
    <row r="25" spans="1:4" x14ac:dyDescent="0.3">
      <c r="A25" s="97" t="s">
        <v>27</v>
      </c>
      <c r="B25" s="93">
        <v>2475</v>
      </c>
      <c r="C25" s="93">
        <v>2283</v>
      </c>
      <c r="D25" s="93">
        <v>1995</v>
      </c>
    </row>
    <row r="26" spans="1:4" x14ac:dyDescent="0.3">
      <c r="A26" s="97" t="s">
        <v>28</v>
      </c>
      <c r="B26" s="93">
        <v>40177</v>
      </c>
      <c r="C26" s="93">
        <v>40490</v>
      </c>
      <c r="D26" s="93">
        <v>37078</v>
      </c>
    </row>
    <row r="27" spans="1:4" x14ac:dyDescent="0.3">
      <c r="A27" s="97" t="s">
        <v>29</v>
      </c>
      <c r="B27" s="97" t="s">
        <v>30</v>
      </c>
      <c r="C27" s="97" t="s">
        <v>30</v>
      </c>
    </row>
    <row r="28" spans="1:4" x14ac:dyDescent="0.3">
      <c r="A28" s="96" t="s">
        <v>31</v>
      </c>
      <c r="B28" s="97" t="s">
        <v>4</v>
      </c>
      <c r="C28" s="97" t="s">
        <v>4</v>
      </c>
    </row>
    <row r="29" spans="1:4" x14ac:dyDescent="0.3">
      <c r="A29" s="97" t="s">
        <v>32</v>
      </c>
      <c r="B29" s="93">
        <v>0</v>
      </c>
      <c r="C29" s="93">
        <v>0</v>
      </c>
      <c r="D29" s="93">
        <v>0</v>
      </c>
    </row>
    <row r="30" spans="1:4" ht="46.8" x14ac:dyDescent="0.3">
      <c r="A30" s="97" t="s">
        <v>33</v>
      </c>
      <c r="B30" s="93">
        <v>1</v>
      </c>
      <c r="C30" s="93">
        <v>1</v>
      </c>
      <c r="D30" s="93">
        <v>1</v>
      </c>
    </row>
    <row r="31" spans="1:4" x14ac:dyDescent="0.3">
      <c r="A31" s="97" t="s">
        <v>34</v>
      </c>
      <c r="B31" s="93">
        <v>-11692</v>
      </c>
      <c r="C31" s="93">
        <v>-4000</v>
      </c>
      <c r="D31" s="93">
        <v>0</v>
      </c>
    </row>
    <row r="32" spans="1:4" x14ac:dyDescent="0.3">
      <c r="A32" s="97" t="s">
        <v>35</v>
      </c>
      <c r="B32" s="93">
        <v>59841</v>
      </c>
      <c r="C32" s="93">
        <v>55047</v>
      </c>
      <c r="D32" s="93">
        <v>50919</v>
      </c>
    </row>
    <row r="33" spans="1:5" x14ac:dyDescent="0.3">
      <c r="A33" s="97" t="s">
        <v>36</v>
      </c>
      <c r="B33" s="93">
        <v>-225</v>
      </c>
      <c r="C33" s="93">
        <v>-274</v>
      </c>
      <c r="D33" s="93">
        <v>-166</v>
      </c>
    </row>
    <row r="34" spans="1:5" x14ac:dyDescent="0.3">
      <c r="A34" s="97" t="s">
        <v>37</v>
      </c>
      <c r="B34" s="93">
        <v>11721</v>
      </c>
      <c r="C34" s="93">
        <v>7585</v>
      </c>
      <c r="D34" s="93">
        <v>7377</v>
      </c>
    </row>
    <row r="35" spans="1:5" x14ac:dyDescent="0.3">
      <c r="A35" s="96" t="s">
        <v>38</v>
      </c>
      <c r="B35" s="93">
        <v>59646</v>
      </c>
      <c r="C35" s="93">
        <v>58359</v>
      </c>
      <c r="D35" s="93">
        <v>58131</v>
      </c>
      <c r="E35" s="62"/>
    </row>
    <row r="36" spans="1:5" x14ac:dyDescent="0.3">
      <c r="A36" s="97" t="s">
        <v>39</v>
      </c>
      <c r="B36" s="92">
        <v>99823</v>
      </c>
      <c r="C36" s="92">
        <v>98849</v>
      </c>
      <c r="D36" s="93">
        <v>95209</v>
      </c>
    </row>
    <row r="37" spans="1:5" x14ac:dyDescent="0.3">
      <c r="A37" s="97"/>
      <c r="B37" s="92"/>
      <c r="C37" s="92"/>
    </row>
    <row r="42" spans="1:5" ht="14.55" customHeight="1" x14ac:dyDescent="0.3">
      <c r="E42" s="9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66B4-FF98-476D-B47A-39C0713E1EAA}">
  <dimension ref="A1:F35"/>
  <sheetViews>
    <sheetView workbookViewId="0">
      <selection activeCell="F5" sqref="F4:F5"/>
    </sheetView>
  </sheetViews>
  <sheetFormatPr defaultRowHeight="15.6" x14ac:dyDescent="0.3"/>
  <cols>
    <col min="1" max="1" width="80.77734375" style="60" customWidth="1"/>
    <col min="2" max="2" width="13" style="60" customWidth="1"/>
    <col min="3" max="5" width="14.33203125" style="60" customWidth="1"/>
    <col min="6" max="6" width="9.21875" style="60" bestFit="1" customWidth="1"/>
    <col min="7" max="16384" width="8.88671875" style="60"/>
  </cols>
  <sheetData>
    <row r="1" spans="1:6" x14ac:dyDescent="0.3">
      <c r="A1" s="189" t="s">
        <v>40</v>
      </c>
      <c r="B1" s="190"/>
      <c r="C1" s="191" t="s">
        <v>41</v>
      </c>
      <c r="D1" s="190"/>
      <c r="E1" s="190"/>
    </row>
    <row r="2" spans="1:6" x14ac:dyDescent="0.3">
      <c r="A2" s="190"/>
      <c r="B2" s="190"/>
      <c r="C2" s="101" t="s">
        <v>1</v>
      </c>
      <c r="D2" s="101" t="s">
        <v>2</v>
      </c>
      <c r="E2" s="101" t="s">
        <v>42</v>
      </c>
    </row>
    <row r="3" spans="1:6" x14ac:dyDescent="0.3">
      <c r="A3" s="96" t="s">
        <v>43</v>
      </c>
      <c r="C3" s="97" t="s">
        <v>4</v>
      </c>
      <c r="D3" s="97" t="s">
        <v>4</v>
      </c>
      <c r="E3" s="97" t="s">
        <v>4</v>
      </c>
    </row>
    <row r="4" spans="1:6" x14ac:dyDescent="0.3">
      <c r="A4" s="97" t="s">
        <v>44</v>
      </c>
      <c r="C4" s="92">
        <v>34857</v>
      </c>
      <c r="D4" s="92">
        <v>31352</v>
      </c>
      <c r="E4" s="92">
        <v>26492</v>
      </c>
      <c r="F4" s="134">
        <f>C4-D4</f>
        <v>3505</v>
      </c>
    </row>
    <row r="5" spans="1:6" x14ac:dyDescent="0.3">
      <c r="A5" s="96" t="s">
        <v>45</v>
      </c>
      <c r="C5" s="97" t="s">
        <v>4</v>
      </c>
      <c r="D5" s="97" t="s">
        <v>4</v>
      </c>
      <c r="E5" s="97" t="s">
        <v>4</v>
      </c>
      <c r="F5" s="60">
        <f>+F4/D4</f>
        <v>0.11179510079101812</v>
      </c>
    </row>
    <row r="6" spans="1:6" x14ac:dyDescent="0.3">
      <c r="A6" s="97" t="s">
        <v>46</v>
      </c>
      <c r="B6" s="97" t="s">
        <v>47</v>
      </c>
      <c r="C6" s="93">
        <v>8541</v>
      </c>
      <c r="D6" s="93">
        <v>8360</v>
      </c>
      <c r="E6" s="93">
        <v>7026</v>
      </c>
    </row>
    <row r="7" spans="1:6" x14ac:dyDescent="0.3">
      <c r="A7" s="97" t="s">
        <v>48</v>
      </c>
      <c r="C7" s="93">
        <v>26316</v>
      </c>
      <c r="D7" s="93">
        <v>22992</v>
      </c>
      <c r="E7" s="93">
        <v>19466</v>
      </c>
    </row>
    <row r="8" spans="1:6" x14ac:dyDescent="0.3">
      <c r="A8" s="96" t="s">
        <v>49</v>
      </c>
      <c r="C8" s="97" t="s">
        <v>4</v>
      </c>
      <c r="D8" s="97" t="s">
        <v>4</v>
      </c>
      <c r="E8" s="97" t="s">
        <v>4</v>
      </c>
    </row>
    <row r="9" spans="1:6" x14ac:dyDescent="0.3">
      <c r="A9" s="97" t="s">
        <v>50</v>
      </c>
      <c r="B9" s="97" t="s">
        <v>47</v>
      </c>
      <c r="C9" s="93">
        <v>4906</v>
      </c>
      <c r="D9" s="93">
        <v>5055</v>
      </c>
      <c r="E9" s="93">
        <v>4465</v>
      </c>
    </row>
    <row r="10" spans="1:6" x14ac:dyDescent="0.3">
      <c r="A10" s="97" t="s">
        <v>51</v>
      </c>
      <c r="B10" s="97" t="s">
        <v>47</v>
      </c>
      <c r="C10" s="93">
        <v>12877</v>
      </c>
      <c r="D10" s="93">
        <v>13526</v>
      </c>
      <c r="E10" s="93">
        <v>11855</v>
      </c>
    </row>
    <row r="11" spans="1:6" x14ac:dyDescent="0.3">
      <c r="A11" s="97" t="s">
        <v>52</v>
      </c>
      <c r="B11" s="97" t="s">
        <v>47</v>
      </c>
      <c r="C11" s="93">
        <v>2534</v>
      </c>
      <c r="D11" s="93">
        <v>2553</v>
      </c>
      <c r="E11" s="93">
        <v>2598</v>
      </c>
    </row>
    <row r="12" spans="1:6" x14ac:dyDescent="0.3">
      <c r="A12" s="97" t="s">
        <v>53</v>
      </c>
      <c r="B12" s="97" t="s">
        <v>47</v>
      </c>
      <c r="C12" s="93">
        <v>988</v>
      </c>
      <c r="D12" s="93">
        <v>828</v>
      </c>
      <c r="E12" s="93">
        <v>0</v>
      </c>
    </row>
    <row r="13" spans="1:6" x14ac:dyDescent="0.3">
      <c r="A13" s="97" t="s">
        <v>54</v>
      </c>
      <c r="B13" s="97" t="s">
        <v>47</v>
      </c>
      <c r="C13" s="93">
        <v>21305</v>
      </c>
      <c r="D13" s="93">
        <v>21962</v>
      </c>
      <c r="E13" s="93">
        <v>18918</v>
      </c>
    </row>
    <row r="14" spans="1:6" x14ac:dyDescent="0.3">
      <c r="A14" s="97" t="s">
        <v>55</v>
      </c>
      <c r="C14" s="93">
        <v>5011</v>
      </c>
      <c r="D14" s="93">
        <v>1030</v>
      </c>
      <c r="E14" s="93">
        <v>548</v>
      </c>
    </row>
    <row r="15" spans="1:6" x14ac:dyDescent="0.3">
      <c r="A15" s="97" t="s">
        <v>56</v>
      </c>
      <c r="C15" s="93">
        <v>-277</v>
      </c>
      <c r="D15" s="93">
        <v>-239</v>
      </c>
      <c r="E15" s="93">
        <v>1211</v>
      </c>
    </row>
    <row r="16" spans="1:6" x14ac:dyDescent="0.3">
      <c r="A16" s="97" t="s">
        <v>57</v>
      </c>
      <c r="C16" s="93">
        <v>216</v>
      </c>
      <c r="D16" s="93">
        <v>-131</v>
      </c>
      <c r="E16" s="93">
        <v>-227</v>
      </c>
    </row>
    <row r="17" spans="1:5" x14ac:dyDescent="0.3">
      <c r="A17" s="97" t="s">
        <v>58</v>
      </c>
      <c r="C17" s="93">
        <v>4950</v>
      </c>
      <c r="D17" s="93">
        <v>660</v>
      </c>
      <c r="E17" s="93">
        <v>1532</v>
      </c>
    </row>
    <row r="18" spans="1:5" x14ac:dyDescent="0.3">
      <c r="A18" s="97" t="s">
        <v>59</v>
      </c>
      <c r="C18" s="93">
        <v>-814</v>
      </c>
      <c r="D18" s="93">
        <v>-452</v>
      </c>
      <c r="E18" s="93">
        <v>-88</v>
      </c>
    </row>
    <row r="19" spans="1:5" x14ac:dyDescent="0.3">
      <c r="A19" s="97" t="s">
        <v>60</v>
      </c>
      <c r="C19" s="92">
        <v>4136</v>
      </c>
      <c r="D19" s="92">
        <v>208</v>
      </c>
      <c r="E19" s="92">
        <v>1444</v>
      </c>
    </row>
    <row r="20" spans="1:5" x14ac:dyDescent="0.3">
      <c r="A20" s="97" t="s">
        <v>61</v>
      </c>
      <c r="C20" s="94">
        <v>4.25</v>
      </c>
      <c r="D20" s="94">
        <v>0.21</v>
      </c>
      <c r="E20" s="94">
        <v>1.51</v>
      </c>
    </row>
    <row r="21" spans="1:5" x14ac:dyDescent="0.3">
      <c r="A21" s="97" t="s">
        <v>62</v>
      </c>
      <c r="C21" s="94">
        <v>4.2</v>
      </c>
      <c r="D21" s="94">
        <v>0.21</v>
      </c>
      <c r="E21" s="94">
        <v>1.48</v>
      </c>
    </row>
    <row r="22" spans="1:5" x14ac:dyDescent="0.3">
      <c r="A22" s="97" t="s">
        <v>63</v>
      </c>
      <c r="C22" s="93">
        <v>974</v>
      </c>
      <c r="D22" s="93">
        <v>992</v>
      </c>
      <c r="E22" s="93">
        <v>955</v>
      </c>
    </row>
    <row r="23" spans="1:5" x14ac:dyDescent="0.3">
      <c r="A23" s="97" t="s">
        <v>64</v>
      </c>
      <c r="C23" s="93">
        <v>984</v>
      </c>
      <c r="D23" s="93">
        <v>997</v>
      </c>
      <c r="E23" s="93">
        <v>974</v>
      </c>
    </row>
    <row r="24" spans="1:5" x14ac:dyDescent="0.3">
      <c r="A24" s="97" t="s">
        <v>65</v>
      </c>
      <c r="C24" s="97" t="s">
        <v>4</v>
      </c>
      <c r="D24" s="97" t="s">
        <v>4</v>
      </c>
      <c r="E24" s="97" t="s">
        <v>4</v>
      </c>
    </row>
    <row r="25" spans="1:5" x14ac:dyDescent="0.3">
      <c r="A25" s="96" t="s">
        <v>43</v>
      </c>
      <c r="C25" s="97" t="s">
        <v>4</v>
      </c>
      <c r="D25" s="97" t="s">
        <v>4</v>
      </c>
      <c r="E25" s="97" t="s">
        <v>4</v>
      </c>
    </row>
    <row r="26" spans="1:5" x14ac:dyDescent="0.3">
      <c r="A26" s="97" t="s">
        <v>44</v>
      </c>
      <c r="C26" s="92">
        <v>32537</v>
      </c>
      <c r="D26" s="92">
        <v>29021</v>
      </c>
      <c r="E26" s="92">
        <v>24657</v>
      </c>
    </row>
    <row r="27" spans="1:5" x14ac:dyDescent="0.3">
      <c r="A27" s="96" t="s">
        <v>45</v>
      </c>
      <c r="C27" s="97" t="s">
        <v>4</v>
      </c>
      <c r="D27" s="97" t="s">
        <v>4</v>
      </c>
      <c r="E27" s="97" t="s">
        <v>4</v>
      </c>
    </row>
    <row r="28" spans="1:5" x14ac:dyDescent="0.3">
      <c r="A28" s="97" t="s">
        <v>46</v>
      </c>
      <c r="B28" s="97" t="s">
        <v>47</v>
      </c>
      <c r="C28" s="93">
        <v>6177</v>
      </c>
      <c r="D28" s="93">
        <v>5821</v>
      </c>
      <c r="E28" s="93">
        <v>5059</v>
      </c>
    </row>
    <row r="29" spans="1:5" x14ac:dyDescent="0.3">
      <c r="A29" s="97" t="s">
        <v>66</v>
      </c>
      <c r="C29" s="97" t="s">
        <v>4</v>
      </c>
      <c r="D29" s="97" t="s">
        <v>4</v>
      </c>
      <c r="E29" s="97" t="s">
        <v>4</v>
      </c>
    </row>
    <row r="30" spans="1:5" x14ac:dyDescent="0.3">
      <c r="A30" s="96" t="s">
        <v>43</v>
      </c>
      <c r="C30" s="97" t="s">
        <v>4</v>
      </c>
      <c r="D30" s="97" t="s">
        <v>4</v>
      </c>
      <c r="E30" s="97" t="s">
        <v>4</v>
      </c>
    </row>
    <row r="31" spans="1:5" x14ac:dyDescent="0.3">
      <c r="A31" s="97" t="s">
        <v>44</v>
      </c>
      <c r="C31" s="93">
        <v>2320</v>
      </c>
      <c r="D31" s="93">
        <v>2331</v>
      </c>
      <c r="E31" s="93">
        <v>1835</v>
      </c>
    </row>
    <row r="32" spans="1:5" x14ac:dyDescent="0.3">
      <c r="A32" s="96" t="s">
        <v>45</v>
      </c>
      <c r="C32" s="97" t="s">
        <v>4</v>
      </c>
      <c r="D32" s="97" t="s">
        <v>4</v>
      </c>
      <c r="E32" s="97" t="s">
        <v>4</v>
      </c>
    </row>
    <row r="33" spans="1:5" x14ac:dyDescent="0.3">
      <c r="A33" s="97" t="s">
        <v>46</v>
      </c>
      <c r="B33" s="97" t="s">
        <v>47</v>
      </c>
      <c r="C33" s="92">
        <v>2364</v>
      </c>
      <c r="D33" s="92">
        <v>2539</v>
      </c>
      <c r="E33" s="92">
        <v>1967</v>
      </c>
    </row>
    <row r="34" spans="1:5" x14ac:dyDescent="0.3">
      <c r="A34" s="190"/>
      <c r="B34" s="190"/>
      <c r="C34" s="190"/>
      <c r="D34" s="190"/>
    </row>
    <row r="35" spans="1:5" x14ac:dyDescent="0.3">
      <c r="A35" s="192" t="s">
        <v>67</v>
      </c>
      <c r="B35" s="190"/>
      <c r="C35" s="190"/>
      <c r="D35" s="190"/>
    </row>
  </sheetData>
  <mergeCells count="4">
    <mergeCell ref="A1:B2"/>
    <mergeCell ref="C1:E1"/>
    <mergeCell ref="A34:D34"/>
    <mergeCell ref="A35:D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FE04-2BED-4C7D-BC8B-87F034F5E46A}">
  <dimension ref="A1:D44"/>
  <sheetViews>
    <sheetView workbookViewId="0">
      <selection activeCell="B6" sqref="B6"/>
    </sheetView>
  </sheetViews>
  <sheetFormatPr defaultRowHeight="15.6" x14ac:dyDescent="0.3"/>
  <cols>
    <col min="1" max="1" width="80.77734375" style="60" customWidth="1"/>
    <col min="2" max="4" width="14.33203125" style="60" customWidth="1"/>
    <col min="5" max="16384" width="8.88671875" style="60"/>
  </cols>
  <sheetData>
    <row r="1" spans="1:4" ht="31.2" x14ac:dyDescent="0.3">
      <c r="A1" s="96" t="s">
        <v>68</v>
      </c>
      <c r="C1" s="97" t="s">
        <v>41</v>
      </c>
    </row>
    <row r="2" spans="1:4" x14ac:dyDescent="0.3">
      <c r="B2" s="101" t="s">
        <v>1</v>
      </c>
      <c r="C2" s="101" t="s">
        <v>2</v>
      </c>
      <c r="D2" s="101" t="s">
        <v>42</v>
      </c>
    </row>
    <row r="3" spans="1:4" x14ac:dyDescent="0.3">
      <c r="A3" s="96" t="s">
        <v>69</v>
      </c>
      <c r="B3" s="97" t="s">
        <v>4</v>
      </c>
      <c r="C3" s="97" t="s">
        <v>4</v>
      </c>
      <c r="D3" s="97" t="s">
        <v>4</v>
      </c>
    </row>
    <row r="4" spans="1:4" x14ac:dyDescent="0.3">
      <c r="A4" s="97" t="s">
        <v>60</v>
      </c>
      <c r="B4" s="92">
        <v>4136</v>
      </c>
      <c r="C4" s="92">
        <v>208</v>
      </c>
      <c r="D4" s="92">
        <v>1444</v>
      </c>
    </row>
    <row r="5" spans="1:4" x14ac:dyDescent="0.3">
      <c r="A5" s="96" t="s">
        <v>70</v>
      </c>
      <c r="B5" s="97" t="s">
        <v>4</v>
      </c>
      <c r="C5" s="97" t="s">
        <v>4</v>
      </c>
      <c r="D5" s="97" t="s">
        <v>4</v>
      </c>
    </row>
    <row r="6" spans="1:4" x14ac:dyDescent="0.3">
      <c r="A6" s="97" t="s">
        <v>71</v>
      </c>
      <c r="B6" s="93">
        <v>3959</v>
      </c>
      <c r="C6" s="93">
        <v>3786</v>
      </c>
      <c r="D6" s="93">
        <v>3298</v>
      </c>
    </row>
    <row r="7" spans="1:4" x14ac:dyDescent="0.3">
      <c r="A7" s="97" t="s">
        <v>72</v>
      </c>
      <c r="B7" s="93">
        <v>1925</v>
      </c>
      <c r="C7" s="93">
        <v>1668</v>
      </c>
      <c r="D7" s="93">
        <v>1348</v>
      </c>
    </row>
    <row r="8" spans="1:4" x14ac:dyDescent="0.3">
      <c r="A8" s="97" t="s">
        <v>73</v>
      </c>
      <c r="B8" s="93">
        <v>2787</v>
      </c>
      <c r="C8" s="93">
        <v>3279</v>
      </c>
      <c r="D8" s="93">
        <v>2779</v>
      </c>
    </row>
    <row r="9" spans="1:4" x14ac:dyDescent="0.3">
      <c r="A9" s="97" t="s">
        <v>74</v>
      </c>
      <c r="B9" s="93">
        <v>277</v>
      </c>
      <c r="C9" s="93">
        <v>239</v>
      </c>
      <c r="D9" s="93">
        <v>-1211</v>
      </c>
    </row>
    <row r="10" spans="1:4" x14ac:dyDescent="0.3">
      <c r="A10" s="96" t="s">
        <v>75</v>
      </c>
      <c r="B10" s="97" t="s">
        <v>4</v>
      </c>
      <c r="C10" s="97" t="s">
        <v>4</v>
      </c>
      <c r="D10" s="97" t="s">
        <v>4</v>
      </c>
    </row>
    <row r="11" spans="1:4" x14ac:dyDescent="0.3">
      <c r="A11" s="97" t="s">
        <v>7</v>
      </c>
      <c r="B11" s="93">
        <v>-659</v>
      </c>
      <c r="C11" s="93">
        <v>-995</v>
      </c>
      <c r="D11" s="93">
        <v>-1824</v>
      </c>
    </row>
    <row r="12" spans="1:4" x14ac:dyDescent="0.3">
      <c r="A12" s="97" t="s">
        <v>8</v>
      </c>
      <c r="B12" s="93">
        <v>-1872</v>
      </c>
      <c r="C12" s="93">
        <v>-2345</v>
      </c>
      <c r="D12" s="93">
        <v>-2283</v>
      </c>
    </row>
    <row r="13" spans="1:4" x14ac:dyDescent="0.3">
      <c r="A13" s="97" t="s">
        <v>76</v>
      </c>
      <c r="B13" s="93">
        <v>-843</v>
      </c>
      <c r="C13" s="93">
        <v>-302</v>
      </c>
      <c r="D13" s="93">
        <v>114</v>
      </c>
    </row>
    <row r="14" spans="1:4" x14ac:dyDescent="0.3">
      <c r="A14" s="97" t="s">
        <v>77</v>
      </c>
      <c r="B14" s="93">
        <v>-478</v>
      </c>
      <c r="C14" s="93">
        <v>528</v>
      </c>
      <c r="D14" s="93">
        <v>507</v>
      </c>
    </row>
    <row r="15" spans="1:4" x14ac:dyDescent="0.3">
      <c r="A15" s="97" t="s">
        <v>78</v>
      </c>
      <c r="B15" s="93">
        <v>-621</v>
      </c>
      <c r="C15" s="93">
        <v>-699</v>
      </c>
      <c r="D15" s="93">
        <v>-801</v>
      </c>
    </row>
    <row r="16" spans="1:4" x14ac:dyDescent="0.3">
      <c r="A16" s="97" t="s">
        <v>22</v>
      </c>
      <c r="B16" s="93">
        <v>1623</v>
      </c>
      <c r="C16" s="93">
        <v>1744</v>
      </c>
      <c r="D16" s="93">
        <v>2629</v>
      </c>
    </row>
    <row r="17" spans="1:4" x14ac:dyDescent="0.3">
      <c r="A17" s="97" t="s">
        <v>79</v>
      </c>
      <c r="B17" s="93">
        <v>10234</v>
      </c>
      <c r="C17" s="93">
        <v>7111</v>
      </c>
      <c r="D17" s="93">
        <v>6000</v>
      </c>
    </row>
    <row r="18" spans="1:4" x14ac:dyDescent="0.3">
      <c r="A18" s="96" t="s">
        <v>80</v>
      </c>
      <c r="B18" s="97" t="s">
        <v>4</v>
      </c>
      <c r="C18" s="97" t="s">
        <v>4</v>
      </c>
      <c r="D18" s="97" t="s">
        <v>4</v>
      </c>
    </row>
    <row r="19" spans="1:4" x14ac:dyDescent="0.3">
      <c r="A19" s="97" t="s">
        <v>81</v>
      </c>
      <c r="B19" s="93">
        <v>-82</v>
      </c>
      <c r="C19" s="93">
        <v>-439</v>
      </c>
      <c r="D19" s="93">
        <v>-14876</v>
      </c>
    </row>
    <row r="20" spans="1:4" x14ac:dyDescent="0.3">
      <c r="A20" s="97" t="s">
        <v>82</v>
      </c>
      <c r="B20" s="93">
        <v>-496</v>
      </c>
      <c r="C20" s="93">
        <v>-550</v>
      </c>
      <c r="D20" s="93">
        <v>-1718</v>
      </c>
    </row>
    <row r="21" spans="1:4" x14ac:dyDescent="0.3">
      <c r="A21" s="97" t="s">
        <v>83</v>
      </c>
      <c r="B21" s="93">
        <v>108</v>
      </c>
      <c r="C21" s="93">
        <v>355</v>
      </c>
      <c r="D21" s="93">
        <v>2201</v>
      </c>
    </row>
    <row r="22" spans="1:4" x14ac:dyDescent="0.3">
      <c r="A22" s="97" t="s">
        <v>84</v>
      </c>
      <c r="B22" s="93">
        <v>-3761</v>
      </c>
      <c r="C22" s="93">
        <v>-4777</v>
      </c>
      <c r="D22" s="93">
        <v>-5674</v>
      </c>
    </row>
    <row r="23" spans="1:4" x14ac:dyDescent="0.3">
      <c r="A23" s="97" t="s">
        <v>85</v>
      </c>
      <c r="B23" s="93">
        <v>1511</v>
      </c>
      <c r="C23" s="93">
        <v>1771</v>
      </c>
      <c r="D23" s="93">
        <v>4179</v>
      </c>
    </row>
    <row r="24" spans="1:4" x14ac:dyDescent="0.3">
      <c r="A24" s="97" t="s">
        <v>86</v>
      </c>
      <c r="B24" s="93">
        <v>2129</v>
      </c>
      <c r="C24" s="93">
        <v>2449</v>
      </c>
      <c r="D24" s="93">
        <v>2069</v>
      </c>
    </row>
    <row r="25" spans="1:4" x14ac:dyDescent="0.3">
      <c r="A25" s="97" t="s">
        <v>87</v>
      </c>
      <c r="B25" s="93">
        <v>-736</v>
      </c>
      <c r="C25" s="93">
        <v>-798</v>
      </c>
      <c r="D25" s="93">
        <v>-717</v>
      </c>
    </row>
    <row r="26" spans="1:4" x14ac:dyDescent="0.3">
      <c r="A26" s="97" t="s">
        <v>88</v>
      </c>
      <c r="B26" s="93">
        <v>-1327</v>
      </c>
      <c r="C26" s="93">
        <v>-1989</v>
      </c>
      <c r="D26" s="93">
        <v>-14536</v>
      </c>
    </row>
    <row r="27" spans="1:4" x14ac:dyDescent="0.3">
      <c r="A27" s="96" t="s">
        <v>89</v>
      </c>
      <c r="B27" s="97" t="s">
        <v>4</v>
      </c>
      <c r="C27" s="97" t="s">
        <v>4</v>
      </c>
      <c r="D27" s="97" t="s">
        <v>4</v>
      </c>
    </row>
    <row r="28" spans="1:4" x14ac:dyDescent="0.3">
      <c r="A28" s="97" t="s">
        <v>90</v>
      </c>
      <c r="B28" s="93">
        <v>0</v>
      </c>
      <c r="C28" s="93">
        <v>0</v>
      </c>
      <c r="D28" s="93">
        <v>7906</v>
      </c>
    </row>
    <row r="29" spans="1:4" x14ac:dyDescent="0.3">
      <c r="A29" s="97" t="s">
        <v>91</v>
      </c>
      <c r="B29" s="93">
        <v>0</v>
      </c>
      <c r="C29" s="93">
        <v>0</v>
      </c>
      <c r="D29" s="93">
        <v>-1197</v>
      </c>
    </row>
    <row r="30" spans="1:4" x14ac:dyDescent="0.3">
      <c r="A30" s="97" t="s">
        <v>92</v>
      </c>
      <c r="B30" s="93">
        <v>-7620</v>
      </c>
      <c r="C30" s="93">
        <v>-4000</v>
      </c>
      <c r="D30" s="93">
        <v>0</v>
      </c>
    </row>
    <row r="31" spans="1:4" x14ac:dyDescent="0.3">
      <c r="A31" s="97" t="s">
        <v>93</v>
      </c>
      <c r="B31" s="93">
        <v>1954</v>
      </c>
      <c r="C31" s="93">
        <v>861</v>
      </c>
      <c r="D31" s="93">
        <v>1289</v>
      </c>
    </row>
    <row r="32" spans="1:4" x14ac:dyDescent="0.3">
      <c r="A32" s="97" t="s">
        <v>94</v>
      </c>
      <c r="B32" s="93">
        <v>-629</v>
      </c>
      <c r="C32" s="93">
        <v>-419</v>
      </c>
      <c r="D32" s="93">
        <v>-156</v>
      </c>
    </row>
    <row r="33" spans="1:4" x14ac:dyDescent="0.3">
      <c r="A33" s="97" t="s">
        <v>95</v>
      </c>
      <c r="B33" s="93">
        <v>-1182</v>
      </c>
      <c r="C33" s="93">
        <v>-4</v>
      </c>
      <c r="D33" s="93">
        <v>-4</v>
      </c>
    </row>
    <row r="34" spans="1:4" x14ac:dyDescent="0.3">
      <c r="A34" s="97" t="s">
        <v>96</v>
      </c>
      <c r="B34" s="93">
        <v>-7477</v>
      </c>
      <c r="C34" s="93">
        <v>-3562</v>
      </c>
      <c r="D34" s="93">
        <v>7838</v>
      </c>
    </row>
    <row r="35" spans="1:4" x14ac:dyDescent="0.3">
      <c r="A35" s="97" t="s">
        <v>97</v>
      </c>
      <c r="B35" s="93">
        <v>26</v>
      </c>
      <c r="C35" s="93">
        <v>-8</v>
      </c>
      <c r="D35" s="93">
        <v>-33</v>
      </c>
    </row>
    <row r="36" spans="1:4" x14ac:dyDescent="0.3">
      <c r="A36" s="97" t="s">
        <v>98</v>
      </c>
      <c r="B36" s="93">
        <v>1456</v>
      </c>
      <c r="C36" s="93">
        <v>1552</v>
      </c>
      <c r="D36" s="93">
        <v>-731</v>
      </c>
    </row>
    <row r="37" spans="1:4" x14ac:dyDescent="0.3">
      <c r="A37" s="97" t="s">
        <v>99</v>
      </c>
      <c r="B37" s="93">
        <v>7016</v>
      </c>
      <c r="C37" s="93">
        <v>5464</v>
      </c>
      <c r="D37" s="93">
        <v>6195</v>
      </c>
    </row>
    <row r="38" spans="1:4" x14ac:dyDescent="0.3">
      <c r="A38" s="97" t="s">
        <v>100</v>
      </c>
      <c r="B38" s="93">
        <v>8472</v>
      </c>
      <c r="C38" s="93">
        <v>7016</v>
      </c>
      <c r="D38" s="93">
        <v>5464</v>
      </c>
    </row>
    <row r="39" spans="1:4" x14ac:dyDescent="0.3">
      <c r="A39" s="96" t="s">
        <v>101</v>
      </c>
      <c r="B39" s="97" t="s">
        <v>4</v>
      </c>
      <c r="C39" s="97" t="s">
        <v>4</v>
      </c>
      <c r="D39" s="97" t="s">
        <v>4</v>
      </c>
    </row>
    <row r="40" spans="1:4" x14ac:dyDescent="0.3">
      <c r="A40" s="97" t="s">
        <v>102</v>
      </c>
      <c r="B40" s="93">
        <v>254</v>
      </c>
      <c r="C40" s="93">
        <v>275</v>
      </c>
      <c r="D40" s="93">
        <v>187</v>
      </c>
    </row>
    <row r="41" spans="1:4" x14ac:dyDescent="0.3">
      <c r="A41" s="97" t="s">
        <v>103</v>
      </c>
      <c r="B41" s="93">
        <v>1027</v>
      </c>
      <c r="C41" s="93">
        <v>510</v>
      </c>
      <c r="D41" s="93">
        <v>196</v>
      </c>
    </row>
    <row r="42" spans="1:4" x14ac:dyDescent="0.3">
      <c r="A42" s="96" t="s">
        <v>104</v>
      </c>
      <c r="B42" s="97" t="s">
        <v>4</v>
      </c>
      <c r="C42" s="97" t="s">
        <v>4</v>
      </c>
      <c r="D42" s="97" t="s">
        <v>4</v>
      </c>
    </row>
    <row r="43" spans="1:4" x14ac:dyDescent="0.3">
      <c r="A43" s="97" t="s">
        <v>105</v>
      </c>
      <c r="B43" s="93">
        <v>0</v>
      </c>
      <c r="C43" s="93">
        <v>7</v>
      </c>
      <c r="D43" s="93">
        <v>205</v>
      </c>
    </row>
    <row r="44" spans="1:4" x14ac:dyDescent="0.3">
      <c r="A44" s="97" t="s">
        <v>106</v>
      </c>
      <c r="B44" s="92">
        <v>0</v>
      </c>
      <c r="C44" s="92">
        <v>0</v>
      </c>
      <c r="D44" s="92">
        <v>11064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05ED-8AA9-4CBB-A2F1-577B893A990D}">
  <dimension ref="A1:D39"/>
  <sheetViews>
    <sheetView topLeftCell="A7" workbookViewId="0">
      <selection activeCell="B1" sqref="B1"/>
    </sheetView>
  </sheetViews>
  <sheetFormatPr defaultRowHeight="15.6" x14ac:dyDescent="0.3"/>
  <cols>
    <col min="1" max="1" width="104.44140625" style="60" bestFit="1" customWidth="1"/>
    <col min="2" max="3" width="11.77734375" style="60" bestFit="1" customWidth="1"/>
    <col min="4" max="16384" width="8.88671875" style="60"/>
  </cols>
  <sheetData>
    <row r="1" spans="1:3" x14ac:dyDescent="0.3">
      <c r="A1" s="99" t="s">
        <v>0</v>
      </c>
      <c r="B1" s="100" t="s">
        <v>303</v>
      </c>
      <c r="C1" s="100" t="s">
        <v>304</v>
      </c>
    </row>
    <row r="2" spans="1:3" x14ac:dyDescent="0.3">
      <c r="A2" s="91" t="s">
        <v>3</v>
      </c>
      <c r="B2" s="63" t="s">
        <v>4</v>
      </c>
      <c r="C2" s="63" t="s">
        <v>4</v>
      </c>
    </row>
    <row r="3" spans="1:3" x14ac:dyDescent="0.3">
      <c r="A3" s="63" t="s">
        <v>5</v>
      </c>
      <c r="B3" s="92">
        <v>7141</v>
      </c>
      <c r="C3" s="92">
        <v>4236</v>
      </c>
    </row>
    <row r="4" spans="1:3" x14ac:dyDescent="0.3">
      <c r="A4" s="63" t="s">
        <v>324</v>
      </c>
      <c r="B4" s="93">
        <v>701</v>
      </c>
      <c r="C4" s="93">
        <v>1860</v>
      </c>
    </row>
    <row r="5" spans="1:3" x14ac:dyDescent="0.3">
      <c r="A5" s="63" t="s">
        <v>325</v>
      </c>
      <c r="B5" s="93">
        <v>2224</v>
      </c>
      <c r="C5" s="93">
        <v>2065</v>
      </c>
    </row>
    <row r="6" spans="1:3" x14ac:dyDescent="0.3">
      <c r="A6" s="63" t="s">
        <v>9</v>
      </c>
      <c r="B6" s="93">
        <v>1018</v>
      </c>
      <c r="C6" s="93">
        <v>835</v>
      </c>
    </row>
    <row r="7" spans="1:3" x14ac:dyDescent="0.3">
      <c r="A7" s="63" t="s">
        <v>10</v>
      </c>
      <c r="B7" s="93">
        <v>11084</v>
      </c>
      <c r="C7" s="93">
        <v>8996</v>
      </c>
    </row>
    <row r="8" spans="1:3" x14ac:dyDescent="0.3">
      <c r="A8" s="63" t="s">
        <v>11</v>
      </c>
      <c r="B8" s="93">
        <v>2030</v>
      </c>
      <c r="C8" s="93">
        <v>1908</v>
      </c>
    </row>
    <row r="9" spans="1:3" x14ac:dyDescent="0.3">
      <c r="A9" s="63" t="s">
        <v>12</v>
      </c>
      <c r="B9" s="93">
        <v>358</v>
      </c>
      <c r="C9" s="93">
        <v>407</v>
      </c>
    </row>
    <row r="10" spans="1:3" x14ac:dyDescent="0.3">
      <c r="A10" s="63" t="s">
        <v>15</v>
      </c>
      <c r="B10" s="93">
        <v>12805</v>
      </c>
      <c r="C10" s="93">
        <v>12787</v>
      </c>
    </row>
    <row r="11" spans="1:3" x14ac:dyDescent="0.3">
      <c r="A11" s="63" t="s">
        <v>326</v>
      </c>
      <c r="B11" s="93">
        <v>1088</v>
      </c>
      <c r="C11" s="93">
        <v>1449</v>
      </c>
    </row>
    <row r="12" spans="1:3" x14ac:dyDescent="0.3">
      <c r="A12" s="63" t="s">
        <v>327</v>
      </c>
      <c r="B12" s="93">
        <v>1191</v>
      </c>
      <c r="C12" s="93">
        <v>777</v>
      </c>
    </row>
    <row r="13" spans="1:3" x14ac:dyDescent="0.3">
      <c r="A13" s="63" t="s">
        <v>328</v>
      </c>
      <c r="B13" s="93">
        <v>1223</v>
      </c>
      <c r="C13" s="93">
        <v>841</v>
      </c>
    </row>
    <row r="14" spans="1:3" x14ac:dyDescent="0.3">
      <c r="A14" s="63" t="s">
        <v>18</v>
      </c>
      <c r="B14" s="93">
        <v>29779</v>
      </c>
      <c r="C14" s="93">
        <v>27165</v>
      </c>
    </row>
    <row r="15" spans="1:3" x14ac:dyDescent="0.3">
      <c r="A15" s="91" t="s">
        <v>19</v>
      </c>
      <c r="B15" s="63" t="s">
        <v>4</v>
      </c>
      <c r="C15" s="63" t="s">
        <v>4</v>
      </c>
    </row>
    <row r="16" spans="1:3" x14ac:dyDescent="0.3">
      <c r="A16" s="63" t="s">
        <v>329</v>
      </c>
      <c r="B16" s="93">
        <v>314</v>
      </c>
      <c r="C16" s="93">
        <v>379</v>
      </c>
    </row>
    <row r="17" spans="1:3" x14ac:dyDescent="0.3">
      <c r="A17" s="63" t="s">
        <v>330</v>
      </c>
      <c r="B17" s="93">
        <v>1942</v>
      </c>
      <c r="C17" s="93">
        <v>1790</v>
      </c>
    </row>
    <row r="18" spans="1:3" x14ac:dyDescent="0.3">
      <c r="A18" s="63" t="s">
        <v>331</v>
      </c>
      <c r="B18" s="93">
        <v>0</v>
      </c>
      <c r="C18" s="93">
        <v>500</v>
      </c>
    </row>
    <row r="19" spans="1:3" x14ac:dyDescent="0.3">
      <c r="A19" s="63" t="s">
        <v>332</v>
      </c>
      <c r="B19" s="93">
        <v>5837</v>
      </c>
      <c r="C19" s="93">
        <v>5297</v>
      </c>
    </row>
    <row r="20" spans="1:3" x14ac:dyDescent="0.3">
      <c r="A20" s="63" t="s">
        <v>333</v>
      </c>
      <c r="B20" s="93">
        <v>85</v>
      </c>
      <c r="C20" s="93">
        <v>75</v>
      </c>
    </row>
    <row r="21" spans="1:3" x14ac:dyDescent="0.3">
      <c r="A21" s="63" t="s">
        <v>78</v>
      </c>
      <c r="B21" s="93">
        <v>73</v>
      </c>
      <c r="C21" s="93">
        <v>87</v>
      </c>
    </row>
    <row r="22" spans="1:3" x14ac:dyDescent="0.3">
      <c r="A22" s="63" t="s">
        <v>24</v>
      </c>
      <c r="B22" s="93">
        <v>8251</v>
      </c>
      <c r="C22" s="93">
        <v>8128</v>
      </c>
    </row>
    <row r="23" spans="1:3" x14ac:dyDescent="0.3">
      <c r="A23" s="91" t="s">
        <v>334</v>
      </c>
      <c r="B23" s="63" t="s">
        <v>4</v>
      </c>
      <c r="C23" s="63" t="s">
        <v>4</v>
      </c>
    </row>
    <row r="24" spans="1:3" x14ac:dyDescent="0.3">
      <c r="A24" s="63" t="s">
        <v>331</v>
      </c>
      <c r="B24" s="93">
        <v>3634</v>
      </c>
      <c r="C24" s="93">
        <v>3629</v>
      </c>
    </row>
    <row r="25" spans="1:3" x14ac:dyDescent="0.3">
      <c r="A25" s="63" t="s">
        <v>332</v>
      </c>
      <c r="B25" s="93">
        <v>113</v>
      </c>
      <c r="C25" s="93">
        <v>117</v>
      </c>
    </row>
    <row r="26" spans="1:3" x14ac:dyDescent="0.3">
      <c r="A26" s="63" t="s">
        <v>333</v>
      </c>
      <c r="B26" s="93">
        <v>514</v>
      </c>
      <c r="C26" s="93">
        <v>530</v>
      </c>
    </row>
    <row r="27" spans="1:3" x14ac:dyDescent="0.3">
      <c r="A27" s="63" t="s">
        <v>78</v>
      </c>
      <c r="B27" s="93">
        <v>373</v>
      </c>
      <c r="C27" s="93">
        <v>417</v>
      </c>
    </row>
    <row r="28" spans="1:3" x14ac:dyDescent="0.3">
      <c r="A28" s="63" t="s">
        <v>335</v>
      </c>
      <c r="B28" s="93">
        <v>376</v>
      </c>
      <c r="C28" s="93">
        <v>293</v>
      </c>
    </row>
    <row r="29" spans="1:3" x14ac:dyDescent="0.3">
      <c r="A29" s="63" t="s">
        <v>28</v>
      </c>
      <c r="B29" s="93">
        <v>13261</v>
      </c>
      <c r="C29" s="93">
        <v>13114</v>
      </c>
    </row>
    <row r="30" spans="1:3" x14ac:dyDescent="0.3">
      <c r="A30" s="63" t="s">
        <v>336</v>
      </c>
      <c r="B30" s="63" t="s">
        <v>30</v>
      </c>
      <c r="C30" s="63" t="s">
        <v>30</v>
      </c>
    </row>
    <row r="31" spans="1:3" x14ac:dyDescent="0.3">
      <c r="A31" s="91" t="s">
        <v>31</v>
      </c>
      <c r="B31" s="63" t="s">
        <v>4</v>
      </c>
      <c r="C31" s="63" t="s">
        <v>4</v>
      </c>
    </row>
    <row r="32" spans="1:3" x14ac:dyDescent="0.3">
      <c r="A32" s="63" t="s">
        <v>337</v>
      </c>
      <c r="B32" s="93">
        <v>0</v>
      </c>
      <c r="C32" s="93">
        <v>0</v>
      </c>
    </row>
    <row r="33" spans="1:4" x14ac:dyDescent="0.3">
      <c r="A33" s="63" t="s">
        <v>338</v>
      </c>
      <c r="B33" s="93">
        <v>0</v>
      </c>
      <c r="C33" s="93">
        <v>0</v>
      </c>
    </row>
    <row r="34" spans="1:4" x14ac:dyDescent="0.3">
      <c r="A34" s="63" t="s">
        <v>339</v>
      </c>
      <c r="B34" s="93">
        <v>11586</v>
      </c>
      <c r="C34" s="93">
        <v>9868</v>
      </c>
    </row>
    <row r="35" spans="1:4" x14ac:dyDescent="0.3">
      <c r="A35" s="63" t="s">
        <v>37</v>
      </c>
      <c r="B35" s="93">
        <v>33346</v>
      </c>
      <c r="C35" s="93">
        <v>28319</v>
      </c>
    </row>
    <row r="36" spans="1:4" x14ac:dyDescent="0.3">
      <c r="A36" s="63" t="s">
        <v>340</v>
      </c>
      <c r="B36" s="93">
        <v>-285</v>
      </c>
      <c r="C36" s="93">
        <v>-293</v>
      </c>
    </row>
    <row r="37" spans="1:4" x14ac:dyDescent="0.3">
      <c r="A37" s="63" t="s">
        <v>341</v>
      </c>
      <c r="B37" s="93">
        <v>-28129</v>
      </c>
      <c r="C37" s="93">
        <v>-23843</v>
      </c>
    </row>
    <row r="38" spans="1:4" x14ac:dyDescent="0.3">
      <c r="A38" s="63" t="s">
        <v>38</v>
      </c>
      <c r="B38" s="93">
        <v>16518</v>
      </c>
      <c r="C38" s="93">
        <v>14051</v>
      </c>
    </row>
    <row r="39" spans="1:4" x14ac:dyDescent="0.3">
      <c r="A39" s="63" t="s">
        <v>39</v>
      </c>
      <c r="B39" s="92">
        <v>29779</v>
      </c>
      <c r="C39" s="92">
        <v>27165</v>
      </c>
      <c r="D39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2900-9C24-449C-B191-7284CE2069D0}">
  <dimension ref="A1:D33"/>
  <sheetViews>
    <sheetView workbookViewId="0">
      <selection activeCell="B12" sqref="B12"/>
    </sheetView>
  </sheetViews>
  <sheetFormatPr defaultRowHeight="15.6" x14ac:dyDescent="0.3"/>
  <cols>
    <col min="1" max="1" width="65.5546875" style="60" bestFit="1" customWidth="1"/>
    <col min="2" max="4" width="11.77734375" style="60" bestFit="1" customWidth="1"/>
    <col min="5" max="16384" width="8.88671875" style="60"/>
  </cols>
  <sheetData>
    <row r="1" spans="1:4" x14ac:dyDescent="0.3">
      <c r="A1" s="189" t="s">
        <v>302</v>
      </c>
      <c r="B1" s="194" t="s">
        <v>41</v>
      </c>
      <c r="C1" s="190"/>
      <c r="D1" s="190"/>
    </row>
    <row r="2" spans="1:4" x14ac:dyDescent="0.3">
      <c r="A2" s="193"/>
      <c r="B2" s="100" t="s">
        <v>303</v>
      </c>
      <c r="C2" s="100" t="s">
        <v>304</v>
      </c>
      <c r="D2" s="100" t="s">
        <v>305</v>
      </c>
    </row>
    <row r="3" spans="1:4" x14ac:dyDescent="0.3">
      <c r="A3" s="63" t="s">
        <v>306</v>
      </c>
      <c r="B3" s="92">
        <v>19409</v>
      </c>
      <c r="C3" s="92">
        <v>17606</v>
      </c>
      <c r="D3" s="92">
        <v>15785</v>
      </c>
    </row>
    <row r="4" spans="1:4" x14ac:dyDescent="0.3">
      <c r="A4" s="63" t="s">
        <v>307</v>
      </c>
      <c r="B4" s="93">
        <v>2354</v>
      </c>
      <c r="C4" s="93">
        <v>2165</v>
      </c>
      <c r="D4" s="93">
        <v>1865</v>
      </c>
    </row>
    <row r="5" spans="1:4" x14ac:dyDescent="0.3">
      <c r="A5" s="63" t="s">
        <v>308</v>
      </c>
      <c r="B5" s="93">
        <v>17055</v>
      </c>
      <c r="C5" s="93">
        <v>15441</v>
      </c>
      <c r="D5" s="93">
        <v>13920</v>
      </c>
    </row>
    <row r="6" spans="1:4" x14ac:dyDescent="0.3">
      <c r="A6" s="91" t="s">
        <v>309</v>
      </c>
      <c r="B6" s="63" t="s">
        <v>4</v>
      </c>
      <c r="C6" s="63" t="s">
        <v>4</v>
      </c>
      <c r="D6" s="63" t="s">
        <v>4</v>
      </c>
    </row>
    <row r="7" spans="1:4" x14ac:dyDescent="0.3">
      <c r="A7" s="63" t="s">
        <v>50</v>
      </c>
      <c r="B7" s="93">
        <v>3473</v>
      </c>
      <c r="C7" s="93">
        <v>2987</v>
      </c>
      <c r="D7" s="93">
        <v>2540</v>
      </c>
    </row>
    <row r="8" spans="1:4" x14ac:dyDescent="0.3">
      <c r="A8" s="63" t="s">
        <v>310</v>
      </c>
      <c r="B8" s="93">
        <v>5351</v>
      </c>
      <c r="C8" s="93">
        <v>4968</v>
      </c>
      <c r="D8" s="93">
        <v>4321</v>
      </c>
    </row>
    <row r="9" spans="1:4" x14ac:dyDescent="0.3">
      <c r="A9" s="63" t="s">
        <v>52</v>
      </c>
      <c r="B9" s="93">
        <v>1413</v>
      </c>
      <c r="C9" s="93">
        <v>1219</v>
      </c>
      <c r="D9" s="93">
        <v>1085</v>
      </c>
    </row>
    <row r="10" spans="1:4" x14ac:dyDescent="0.3">
      <c r="A10" s="63" t="s">
        <v>311</v>
      </c>
      <c r="B10" s="93">
        <v>168</v>
      </c>
      <c r="C10" s="93">
        <v>169</v>
      </c>
      <c r="D10" s="93">
        <v>172</v>
      </c>
    </row>
    <row r="11" spans="1:4" x14ac:dyDescent="0.3">
      <c r="A11" s="63" t="s">
        <v>54</v>
      </c>
      <c r="B11" s="93">
        <v>10405</v>
      </c>
      <c r="C11" s="93">
        <v>9343</v>
      </c>
      <c r="D11" s="93">
        <v>8118</v>
      </c>
    </row>
    <row r="12" spans="1:4" x14ac:dyDescent="0.3">
      <c r="A12" s="63" t="s">
        <v>312</v>
      </c>
      <c r="B12" s="93">
        <v>6650</v>
      </c>
      <c r="C12" s="93">
        <v>6098</v>
      </c>
      <c r="D12" s="93">
        <v>5802</v>
      </c>
    </row>
    <row r="13" spans="1:4" x14ac:dyDescent="0.3">
      <c r="A13" s="91" t="s">
        <v>313</v>
      </c>
      <c r="B13" s="63" t="s">
        <v>4</v>
      </c>
      <c r="C13" s="63" t="s">
        <v>4</v>
      </c>
      <c r="D13" s="63" t="s">
        <v>4</v>
      </c>
    </row>
    <row r="14" spans="1:4" x14ac:dyDescent="0.3">
      <c r="A14" s="63" t="s">
        <v>314</v>
      </c>
      <c r="B14" s="93">
        <v>-113</v>
      </c>
      <c r="C14" s="93">
        <v>-112</v>
      </c>
      <c r="D14" s="93">
        <v>-113</v>
      </c>
    </row>
    <row r="15" spans="1:4" x14ac:dyDescent="0.3">
      <c r="A15" s="63" t="s">
        <v>315</v>
      </c>
      <c r="B15" s="93">
        <v>16</v>
      </c>
      <c r="C15" s="93">
        <v>-19</v>
      </c>
      <c r="D15" s="93">
        <v>16</v>
      </c>
    </row>
    <row r="16" spans="1:4" x14ac:dyDescent="0.3">
      <c r="A16" s="63" t="s">
        <v>316</v>
      </c>
      <c r="B16" s="93">
        <v>246</v>
      </c>
      <c r="C16" s="93">
        <v>41</v>
      </c>
      <c r="D16" s="93">
        <v>0</v>
      </c>
    </row>
    <row r="17" spans="1:4" x14ac:dyDescent="0.3">
      <c r="A17" s="63" t="s">
        <v>317</v>
      </c>
      <c r="B17" s="93">
        <v>149</v>
      </c>
      <c r="C17" s="93">
        <v>-90</v>
      </c>
      <c r="D17" s="93">
        <v>-97</v>
      </c>
    </row>
    <row r="18" spans="1:4" x14ac:dyDescent="0.3">
      <c r="A18" s="63" t="s">
        <v>318</v>
      </c>
      <c r="B18" s="93">
        <v>6799</v>
      </c>
      <c r="C18" s="93">
        <v>6008</v>
      </c>
      <c r="D18" s="93">
        <v>5705</v>
      </c>
    </row>
    <row r="19" spans="1:4" x14ac:dyDescent="0.3">
      <c r="A19" s="63" t="s">
        <v>59</v>
      </c>
      <c r="B19" s="93">
        <v>1371</v>
      </c>
      <c r="C19" s="93">
        <v>1252</v>
      </c>
      <c r="D19" s="93">
        <v>883</v>
      </c>
    </row>
    <row r="20" spans="1:4" x14ac:dyDescent="0.3">
      <c r="A20" s="63" t="s">
        <v>60</v>
      </c>
      <c r="B20" s="92">
        <v>5428</v>
      </c>
      <c r="C20" s="92">
        <v>4756</v>
      </c>
      <c r="D20" s="92">
        <v>4822</v>
      </c>
    </row>
    <row r="21" spans="1:4" x14ac:dyDescent="0.3">
      <c r="A21" s="63" t="s">
        <v>61</v>
      </c>
      <c r="B21" s="94">
        <v>11.87</v>
      </c>
      <c r="C21" s="94">
        <v>10.130000000000001</v>
      </c>
      <c r="D21" s="94">
        <v>10.1</v>
      </c>
    </row>
    <row r="22" spans="1:4" x14ac:dyDescent="0.3">
      <c r="A22" s="63" t="s">
        <v>319</v>
      </c>
      <c r="B22" s="95">
        <v>457.1</v>
      </c>
      <c r="C22" s="95">
        <v>469.5</v>
      </c>
      <c r="D22" s="95">
        <v>477.3</v>
      </c>
    </row>
    <row r="23" spans="1:4" x14ac:dyDescent="0.3">
      <c r="A23" s="63" t="s">
        <v>62</v>
      </c>
      <c r="B23" s="94">
        <v>11.82</v>
      </c>
      <c r="C23" s="94">
        <v>10.1</v>
      </c>
      <c r="D23" s="94">
        <v>10.02</v>
      </c>
    </row>
    <row r="24" spans="1:4" x14ac:dyDescent="0.3">
      <c r="A24" s="63" t="s">
        <v>320</v>
      </c>
      <c r="B24" s="95">
        <v>459.1</v>
      </c>
      <c r="C24" s="95">
        <v>470.9</v>
      </c>
      <c r="D24" s="93">
        <v>481</v>
      </c>
    </row>
    <row r="25" spans="1:4" x14ac:dyDescent="0.3">
      <c r="A25" s="63" t="s">
        <v>321</v>
      </c>
      <c r="B25" s="63" t="s">
        <v>4</v>
      </c>
      <c r="C25" s="63" t="s">
        <v>4</v>
      </c>
      <c r="D25" s="63" t="s">
        <v>4</v>
      </c>
    </row>
    <row r="26" spans="1:4" x14ac:dyDescent="0.3">
      <c r="A26" s="63" t="s">
        <v>306</v>
      </c>
      <c r="B26" s="92">
        <v>18284</v>
      </c>
      <c r="C26" s="92">
        <v>16388</v>
      </c>
      <c r="D26" s="92">
        <v>14573</v>
      </c>
    </row>
    <row r="27" spans="1:4" x14ac:dyDescent="0.3">
      <c r="A27" s="63" t="s">
        <v>307</v>
      </c>
      <c r="B27" s="93">
        <v>1822</v>
      </c>
      <c r="C27" s="93">
        <v>1646</v>
      </c>
      <c r="D27" s="93">
        <v>1374</v>
      </c>
    </row>
    <row r="28" spans="1:4" x14ac:dyDescent="0.3">
      <c r="A28" s="63" t="s">
        <v>322</v>
      </c>
      <c r="B28" s="63" t="s">
        <v>4</v>
      </c>
      <c r="C28" s="63" t="s">
        <v>4</v>
      </c>
      <c r="D28" s="63" t="s">
        <v>4</v>
      </c>
    </row>
    <row r="29" spans="1:4" x14ac:dyDescent="0.3">
      <c r="A29" s="63" t="s">
        <v>306</v>
      </c>
      <c r="B29" s="93">
        <v>460</v>
      </c>
      <c r="C29" s="93">
        <v>532</v>
      </c>
      <c r="D29" s="93">
        <v>555</v>
      </c>
    </row>
    <row r="30" spans="1:4" x14ac:dyDescent="0.3">
      <c r="A30" s="63" t="s">
        <v>307</v>
      </c>
      <c r="B30" s="93">
        <v>29</v>
      </c>
      <c r="C30" s="93">
        <v>35</v>
      </c>
      <c r="D30" s="93">
        <v>41</v>
      </c>
    </row>
    <row r="31" spans="1:4" x14ac:dyDescent="0.3">
      <c r="A31" s="63" t="s">
        <v>323</v>
      </c>
      <c r="B31" s="63" t="s">
        <v>4</v>
      </c>
      <c r="C31" s="63" t="s">
        <v>4</v>
      </c>
      <c r="D31" s="63" t="s">
        <v>4</v>
      </c>
    </row>
    <row r="32" spans="1:4" x14ac:dyDescent="0.3">
      <c r="A32" s="63" t="s">
        <v>306</v>
      </c>
      <c r="B32" s="93">
        <v>665</v>
      </c>
      <c r="C32" s="93">
        <v>686</v>
      </c>
      <c r="D32" s="93">
        <v>657</v>
      </c>
    </row>
    <row r="33" spans="1:4" x14ac:dyDescent="0.3">
      <c r="A33" s="63" t="s">
        <v>307</v>
      </c>
      <c r="B33" s="92">
        <v>503</v>
      </c>
      <c r="C33" s="92">
        <v>484</v>
      </c>
      <c r="D33" s="92">
        <v>450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9C95-1E84-4627-AAC4-D9012A08BB38}">
  <dimension ref="A1:D42"/>
  <sheetViews>
    <sheetView workbookViewId="0">
      <selection sqref="A1:A2"/>
    </sheetView>
  </sheetViews>
  <sheetFormatPr defaultRowHeight="15.6" x14ac:dyDescent="0.3"/>
  <cols>
    <col min="1" max="1" width="76.21875" style="60" bestFit="1" customWidth="1"/>
    <col min="2" max="4" width="11.77734375" style="60" bestFit="1" customWidth="1"/>
    <col min="5" max="16384" width="8.88671875" style="60"/>
  </cols>
  <sheetData>
    <row r="1" spans="1:4" x14ac:dyDescent="0.3">
      <c r="A1" s="195" t="s">
        <v>68</v>
      </c>
      <c r="B1" s="194" t="s">
        <v>41</v>
      </c>
      <c r="C1" s="190"/>
      <c r="D1" s="190"/>
    </row>
    <row r="2" spans="1:4" x14ac:dyDescent="0.3">
      <c r="A2" s="190"/>
      <c r="B2" s="100" t="s">
        <v>303</v>
      </c>
      <c r="C2" s="100" t="s">
        <v>304</v>
      </c>
      <c r="D2" s="100" t="s">
        <v>305</v>
      </c>
    </row>
    <row r="3" spans="1:4" x14ac:dyDescent="0.3">
      <c r="A3" s="91" t="s">
        <v>342</v>
      </c>
      <c r="B3" s="63" t="s">
        <v>4</v>
      </c>
      <c r="C3" s="63" t="s">
        <v>4</v>
      </c>
      <c r="D3" s="63" t="s">
        <v>4</v>
      </c>
    </row>
    <row r="4" spans="1:4" x14ac:dyDescent="0.3">
      <c r="A4" s="63" t="s">
        <v>60</v>
      </c>
      <c r="B4" s="92">
        <v>5428</v>
      </c>
      <c r="C4" s="92">
        <v>4756</v>
      </c>
      <c r="D4" s="92">
        <v>4822</v>
      </c>
    </row>
    <row r="5" spans="1:4" x14ac:dyDescent="0.3">
      <c r="A5" s="91" t="s">
        <v>70</v>
      </c>
      <c r="B5" s="63" t="s">
        <v>4</v>
      </c>
      <c r="C5" s="63" t="s">
        <v>4</v>
      </c>
      <c r="D5" s="63" t="s">
        <v>4</v>
      </c>
    </row>
    <row r="6" spans="1:4" x14ac:dyDescent="0.3">
      <c r="A6" s="63" t="s">
        <v>343</v>
      </c>
      <c r="B6" s="93">
        <v>872</v>
      </c>
      <c r="C6" s="93">
        <v>856</v>
      </c>
      <c r="D6" s="93">
        <v>788</v>
      </c>
    </row>
    <row r="7" spans="1:4" x14ac:dyDescent="0.3">
      <c r="A7" s="63" t="s">
        <v>344</v>
      </c>
      <c r="B7" s="93">
        <v>1718</v>
      </c>
      <c r="C7" s="93">
        <v>1440</v>
      </c>
      <c r="D7" s="93">
        <v>1069</v>
      </c>
    </row>
    <row r="8" spans="1:4" x14ac:dyDescent="0.3">
      <c r="A8" s="63" t="s">
        <v>345</v>
      </c>
      <c r="B8" s="93">
        <v>72</v>
      </c>
      <c r="C8" s="93">
        <v>83</v>
      </c>
      <c r="D8" s="93">
        <v>73</v>
      </c>
    </row>
    <row r="9" spans="1:4" x14ac:dyDescent="0.3">
      <c r="A9" s="63" t="s">
        <v>327</v>
      </c>
      <c r="B9" s="93">
        <v>-426</v>
      </c>
      <c r="C9" s="93">
        <v>328</v>
      </c>
      <c r="D9" s="93">
        <v>183</v>
      </c>
    </row>
    <row r="10" spans="1:4" x14ac:dyDescent="0.3">
      <c r="A10" s="63" t="s">
        <v>346</v>
      </c>
      <c r="B10" s="93">
        <v>-10</v>
      </c>
      <c r="C10" s="93">
        <v>29</v>
      </c>
      <c r="D10" s="93">
        <v>-4</v>
      </c>
    </row>
    <row r="11" spans="1:4" x14ac:dyDescent="0.3">
      <c r="A11" s="63" t="s">
        <v>347</v>
      </c>
      <c r="B11" s="93">
        <v>3</v>
      </c>
      <c r="C11" s="93">
        <v>10</v>
      </c>
      <c r="D11" s="93">
        <v>7</v>
      </c>
    </row>
    <row r="12" spans="1:4" x14ac:dyDescent="0.3">
      <c r="A12" s="91" t="s">
        <v>348</v>
      </c>
      <c r="B12" s="63" t="s">
        <v>4</v>
      </c>
      <c r="C12" s="63" t="s">
        <v>4</v>
      </c>
      <c r="D12" s="63" t="s">
        <v>4</v>
      </c>
    </row>
    <row r="13" spans="1:4" x14ac:dyDescent="0.3">
      <c r="A13" s="63" t="s">
        <v>349</v>
      </c>
      <c r="B13" s="93">
        <v>-159</v>
      </c>
      <c r="C13" s="93">
        <v>-198</v>
      </c>
      <c r="D13" s="93">
        <v>-430</v>
      </c>
    </row>
    <row r="14" spans="1:4" x14ac:dyDescent="0.3">
      <c r="A14" s="63" t="s">
        <v>350</v>
      </c>
      <c r="B14" s="93">
        <v>-818</v>
      </c>
      <c r="C14" s="93">
        <v>-94</v>
      </c>
      <c r="D14" s="93">
        <v>-475</v>
      </c>
    </row>
    <row r="15" spans="1:4" x14ac:dyDescent="0.3">
      <c r="A15" s="63" t="s">
        <v>329</v>
      </c>
      <c r="B15" s="93">
        <v>-49</v>
      </c>
      <c r="C15" s="93">
        <v>66</v>
      </c>
      <c r="D15" s="93">
        <v>-20</v>
      </c>
    </row>
    <row r="16" spans="1:4" x14ac:dyDescent="0.3">
      <c r="A16" s="63" t="s">
        <v>351</v>
      </c>
      <c r="B16" s="93">
        <v>146</v>
      </c>
      <c r="C16" s="93">
        <v>7</v>
      </c>
      <c r="D16" s="93">
        <v>162</v>
      </c>
    </row>
    <row r="17" spans="1:4" x14ac:dyDescent="0.3">
      <c r="A17" s="63" t="s">
        <v>333</v>
      </c>
      <c r="B17" s="93">
        <v>-11</v>
      </c>
      <c r="C17" s="93">
        <v>19</v>
      </c>
      <c r="D17" s="93">
        <v>2</v>
      </c>
    </row>
    <row r="18" spans="1:4" x14ac:dyDescent="0.3">
      <c r="A18" s="63" t="s">
        <v>332</v>
      </c>
      <c r="B18" s="93">
        <v>536</v>
      </c>
      <c r="C18" s="93">
        <v>536</v>
      </c>
      <c r="D18" s="93">
        <v>1053</v>
      </c>
    </row>
    <row r="19" spans="1:4" x14ac:dyDescent="0.3">
      <c r="A19" s="63" t="s">
        <v>79</v>
      </c>
      <c r="B19" s="93">
        <v>7302</v>
      </c>
      <c r="C19" s="93">
        <v>7838</v>
      </c>
      <c r="D19" s="93">
        <v>7230</v>
      </c>
    </row>
    <row r="20" spans="1:4" x14ac:dyDescent="0.3">
      <c r="A20" s="91" t="s">
        <v>352</v>
      </c>
      <c r="B20" s="63" t="s">
        <v>4</v>
      </c>
      <c r="C20" s="63" t="s">
        <v>4</v>
      </c>
      <c r="D20" s="63" t="s">
        <v>4</v>
      </c>
    </row>
    <row r="21" spans="1:4" x14ac:dyDescent="0.3">
      <c r="A21" s="63" t="s">
        <v>353</v>
      </c>
      <c r="B21" s="93">
        <v>0</v>
      </c>
      <c r="C21" s="93">
        <v>-909</v>
      </c>
      <c r="D21" s="93">
        <v>-1533</v>
      </c>
    </row>
    <row r="22" spans="1:4" x14ac:dyDescent="0.3">
      <c r="A22" s="63" t="s">
        <v>354</v>
      </c>
      <c r="B22" s="93">
        <v>965</v>
      </c>
      <c r="C22" s="93">
        <v>683</v>
      </c>
      <c r="D22" s="93">
        <v>877</v>
      </c>
    </row>
    <row r="23" spans="1:4" x14ac:dyDescent="0.3">
      <c r="A23" s="63" t="s">
        <v>355</v>
      </c>
      <c r="B23" s="93">
        <v>223</v>
      </c>
      <c r="C23" s="93">
        <v>270</v>
      </c>
      <c r="D23" s="93">
        <v>191</v>
      </c>
    </row>
    <row r="24" spans="1:4" x14ac:dyDescent="0.3">
      <c r="A24" s="63" t="s">
        <v>356</v>
      </c>
      <c r="B24" s="93">
        <v>0</v>
      </c>
      <c r="C24" s="93">
        <v>-126</v>
      </c>
      <c r="D24" s="93">
        <v>-2682</v>
      </c>
    </row>
    <row r="25" spans="1:4" x14ac:dyDescent="0.3">
      <c r="A25" s="63" t="s">
        <v>357</v>
      </c>
      <c r="B25" s="93">
        <v>-360</v>
      </c>
      <c r="C25" s="93">
        <v>-442</v>
      </c>
      <c r="D25" s="93">
        <v>-348</v>
      </c>
    </row>
    <row r="26" spans="1:4" x14ac:dyDescent="0.3">
      <c r="A26" s="63" t="s">
        <v>358</v>
      </c>
      <c r="B26" s="93">
        <v>-53</v>
      </c>
      <c r="C26" s="93">
        <v>-46</v>
      </c>
      <c r="D26" s="93">
        <v>-42</v>
      </c>
    </row>
    <row r="27" spans="1:4" x14ac:dyDescent="0.3">
      <c r="A27" s="63" t="s">
        <v>359</v>
      </c>
      <c r="B27" s="93">
        <v>1</v>
      </c>
      <c r="C27" s="93">
        <v>0</v>
      </c>
      <c r="D27" s="93">
        <v>0</v>
      </c>
    </row>
    <row r="28" spans="1:4" x14ac:dyDescent="0.3">
      <c r="A28" s="63" t="s">
        <v>360</v>
      </c>
      <c r="B28" s="93">
        <v>776</v>
      </c>
      <c r="C28" s="93">
        <v>-570</v>
      </c>
      <c r="D28" s="93">
        <v>-3537</v>
      </c>
    </row>
    <row r="29" spans="1:4" x14ac:dyDescent="0.3">
      <c r="A29" s="91" t="s">
        <v>361</v>
      </c>
      <c r="B29" s="63" t="s">
        <v>4</v>
      </c>
      <c r="C29" s="63" t="s">
        <v>4</v>
      </c>
      <c r="D29" s="63" t="s">
        <v>4</v>
      </c>
    </row>
    <row r="30" spans="1:4" x14ac:dyDescent="0.3">
      <c r="A30" s="63" t="s">
        <v>92</v>
      </c>
      <c r="B30" s="93">
        <v>-4400</v>
      </c>
      <c r="C30" s="93">
        <v>-6550</v>
      </c>
      <c r="D30" s="93">
        <v>-3950</v>
      </c>
    </row>
    <row r="31" spans="1:4" x14ac:dyDescent="0.3">
      <c r="A31" s="63" t="s">
        <v>362</v>
      </c>
      <c r="B31" s="93">
        <v>314</v>
      </c>
      <c r="C31" s="93">
        <v>278</v>
      </c>
      <c r="D31" s="93">
        <v>291</v>
      </c>
    </row>
    <row r="32" spans="1:4" x14ac:dyDescent="0.3">
      <c r="A32" s="63" t="s">
        <v>363</v>
      </c>
      <c r="B32" s="93">
        <v>-589</v>
      </c>
      <c r="C32" s="93">
        <v>-518</v>
      </c>
      <c r="D32" s="93">
        <v>-719</v>
      </c>
    </row>
    <row r="33" spans="1:4" x14ac:dyDescent="0.3">
      <c r="A33" s="63" t="s">
        <v>364</v>
      </c>
      <c r="B33" s="93">
        <v>-500</v>
      </c>
      <c r="C33" s="93">
        <v>0</v>
      </c>
      <c r="D33" s="93">
        <v>0</v>
      </c>
    </row>
    <row r="34" spans="1:4" x14ac:dyDescent="0.3">
      <c r="A34" s="63" t="s">
        <v>365</v>
      </c>
      <c r="B34" s="93">
        <v>-7</v>
      </c>
      <c r="C34" s="93">
        <v>-35</v>
      </c>
      <c r="D34" s="93">
        <v>77</v>
      </c>
    </row>
    <row r="35" spans="1:4" x14ac:dyDescent="0.3">
      <c r="A35" s="63" t="s">
        <v>366</v>
      </c>
      <c r="B35" s="93">
        <v>-5182</v>
      </c>
      <c r="C35" s="93">
        <v>-6825</v>
      </c>
      <c r="D35" s="93">
        <v>-4301</v>
      </c>
    </row>
    <row r="36" spans="1:4" x14ac:dyDescent="0.3">
      <c r="A36" s="63" t="s">
        <v>367</v>
      </c>
      <c r="B36" s="93">
        <v>9</v>
      </c>
      <c r="C36" s="93">
        <v>-51</v>
      </c>
      <c r="D36" s="93">
        <v>-26</v>
      </c>
    </row>
    <row r="37" spans="1:4" x14ac:dyDescent="0.3">
      <c r="A37" s="63" t="s">
        <v>368</v>
      </c>
      <c r="B37" s="93">
        <v>2905</v>
      </c>
      <c r="C37" s="93">
        <v>392</v>
      </c>
      <c r="D37" s="93">
        <v>-634</v>
      </c>
    </row>
    <row r="38" spans="1:4" x14ac:dyDescent="0.3">
      <c r="A38" s="63" t="s">
        <v>369</v>
      </c>
      <c r="B38" s="93">
        <v>4236</v>
      </c>
      <c r="C38" s="93">
        <v>3844</v>
      </c>
      <c r="D38" s="93">
        <v>4478</v>
      </c>
    </row>
    <row r="39" spans="1:4" x14ac:dyDescent="0.3">
      <c r="A39" s="63" t="s">
        <v>370</v>
      </c>
      <c r="B39" s="93">
        <v>7141</v>
      </c>
      <c r="C39" s="93">
        <v>4236</v>
      </c>
      <c r="D39" s="93">
        <v>3844</v>
      </c>
    </row>
    <row r="40" spans="1:4" x14ac:dyDescent="0.3">
      <c r="A40" s="91" t="s">
        <v>371</v>
      </c>
      <c r="B40" s="63" t="s">
        <v>4</v>
      </c>
      <c r="C40" s="63" t="s">
        <v>4</v>
      </c>
      <c r="D40" s="63" t="s">
        <v>4</v>
      </c>
    </row>
    <row r="41" spans="1:4" x14ac:dyDescent="0.3">
      <c r="A41" s="63" t="s">
        <v>372</v>
      </c>
      <c r="B41" s="93">
        <v>1854</v>
      </c>
      <c r="C41" s="93">
        <v>778</v>
      </c>
      <c r="D41" s="93">
        <v>843</v>
      </c>
    </row>
    <row r="42" spans="1:4" x14ac:dyDescent="0.3">
      <c r="A42" s="63" t="s">
        <v>373</v>
      </c>
      <c r="B42" s="92">
        <v>106</v>
      </c>
      <c r="C42" s="92">
        <v>103</v>
      </c>
      <c r="D42" s="92">
        <v>100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DAD7-BAC3-4E0C-94F8-D2639D8F72A7}">
  <dimension ref="A1:K12"/>
  <sheetViews>
    <sheetView workbookViewId="0">
      <selection activeCell="C4" sqref="C4"/>
    </sheetView>
  </sheetViews>
  <sheetFormatPr defaultRowHeight="14.4" x14ac:dyDescent="0.3"/>
  <cols>
    <col min="1" max="1" width="17.6640625" bestFit="1" customWidth="1"/>
    <col min="3" max="3" width="13.33203125" bestFit="1" customWidth="1"/>
    <col min="5" max="5" width="16.88671875" bestFit="1" customWidth="1"/>
    <col min="7" max="7" width="19" bestFit="1" customWidth="1"/>
    <col min="9" max="9" width="13.77734375" bestFit="1" customWidth="1"/>
    <col min="11" max="11" width="16.44140625" bestFit="1" customWidth="1"/>
  </cols>
  <sheetData>
    <row r="1" spans="1:11" x14ac:dyDescent="0.3">
      <c r="A1" t="s">
        <v>131</v>
      </c>
      <c r="C1" t="s">
        <v>130</v>
      </c>
      <c r="E1" t="s">
        <v>136</v>
      </c>
      <c r="G1" t="s">
        <v>139</v>
      </c>
      <c r="I1" t="s">
        <v>137</v>
      </c>
      <c r="K1" t="s">
        <v>138</v>
      </c>
    </row>
    <row r="2" spans="1:11" x14ac:dyDescent="0.3">
      <c r="A2" t="s">
        <v>128</v>
      </c>
      <c r="C2" t="s">
        <v>132</v>
      </c>
      <c r="E2" t="s">
        <v>140</v>
      </c>
      <c r="G2" t="s">
        <v>144</v>
      </c>
      <c r="I2" t="s">
        <v>148</v>
      </c>
    </row>
    <row r="3" spans="1:11" x14ac:dyDescent="0.3">
      <c r="A3" t="s">
        <v>126</v>
      </c>
      <c r="C3" t="s">
        <v>133</v>
      </c>
      <c r="E3" t="s">
        <v>141</v>
      </c>
      <c r="G3" t="s">
        <v>145</v>
      </c>
    </row>
    <row r="4" spans="1:11" x14ac:dyDescent="0.3">
      <c r="A4" t="s">
        <v>127</v>
      </c>
      <c r="C4" t="s">
        <v>134</v>
      </c>
      <c r="E4" t="s">
        <v>142</v>
      </c>
      <c r="G4" t="s">
        <v>147</v>
      </c>
    </row>
    <row r="5" spans="1:11" x14ac:dyDescent="0.3">
      <c r="A5" t="s">
        <v>129</v>
      </c>
      <c r="C5" t="s">
        <v>135</v>
      </c>
      <c r="E5" t="s">
        <v>143</v>
      </c>
      <c r="G5" t="s">
        <v>146</v>
      </c>
    </row>
    <row r="7" spans="1:11" x14ac:dyDescent="0.3">
      <c r="A7" s="31" t="s">
        <v>167</v>
      </c>
      <c r="C7" t="s">
        <v>171</v>
      </c>
      <c r="E7" t="s">
        <v>154</v>
      </c>
      <c r="G7" t="s">
        <v>179</v>
      </c>
    </row>
    <row r="8" spans="1:11" x14ac:dyDescent="0.3">
      <c r="A8" t="s">
        <v>168</v>
      </c>
      <c r="C8" t="s">
        <v>172</v>
      </c>
      <c r="E8" t="s">
        <v>177</v>
      </c>
    </row>
    <row r="9" spans="1:11" x14ac:dyDescent="0.3">
      <c r="A9" t="s">
        <v>170</v>
      </c>
      <c r="C9" t="s">
        <v>173</v>
      </c>
      <c r="E9" t="s">
        <v>178</v>
      </c>
    </row>
    <row r="10" spans="1:11" x14ac:dyDescent="0.3">
      <c r="A10" t="s">
        <v>169</v>
      </c>
      <c r="C10" t="s">
        <v>174</v>
      </c>
    </row>
    <row r="11" spans="1:11" x14ac:dyDescent="0.3">
      <c r="C11" t="s">
        <v>175</v>
      </c>
    </row>
    <row r="12" spans="1:11" x14ac:dyDescent="0.3">
      <c r="C12" t="s">
        <v>176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09EE-DFE2-4C13-9B42-39CACC765011}">
  <dimension ref="A1"/>
  <sheetViews>
    <sheetView workbookViewId="0">
      <selection activeCell="O78" sqref="O78"/>
    </sheetView>
  </sheetViews>
  <sheetFormatPr defaultRowHeight="15.6" x14ac:dyDescent="0.3"/>
  <cols>
    <col min="1" max="16384" width="8.88671875" style="60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3107-FD90-4EA1-93D8-6158E204FBA3}">
  <dimension ref="A1:K12"/>
  <sheetViews>
    <sheetView workbookViewId="0">
      <selection activeCell="G9" sqref="G9"/>
    </sheetView>
  </sheetViews>
  <sheetFormatPr defaultRowHeight="14.4" x14ac:dyDescent="0.3"/>
  <cols>
    <col min="1" max="1" width="17.6640625" bestFit="1" customWidth="1"/>
    <col min="3" max="3" width="13.33203125" bestFit="1" customWidth="1"/>
    <col min="5" max="5" width="16.88671875" bestFit="1" customWidth="1"/>
    <col min="7" max="7" width="19" bestFit="1" customWidth="1"/>
    <col min="9" max="9" width="13.77734375" bestFit="1" customWidth="1"/>
    <col min="11" max="11" width="16.44140625" bestFit="1" customWidth="1"/>
  </cols>
  <sheetData>
    <row r="1" spans="1:11" x14ac:dyDescent="0.3">
      <c r="A1" t="s">
        <v>131</v>
      </c>
      <c r="C1" t="s">
        <v>130</v>
      </c>
      <c r="E1" t="s">
        <v>136</v>
      </c>
      <c r="G1" t="s">
        <v>139</v>
      </c>
      <c r="I1" t="s">
        <v>137</v>
      </c>
      <c r="K1" t="s">
        <v>138</v>
      </c>
    </row>
    <row r="2" spans="1:11" x14ac:dyDescent="0.3">
      <c r="A2" t="s">
        <v>128</v>
      </c>
      <c r="C2" t="s">
        <v>132</v>
      </c>
      <c r="E2" t="s">
        <v>140</v>
      </c>
      <c r="G2" t="s">
        <v>144</v>
      </c>
      <c r="I2" t="s">
        <v>148</v>
      </c>
    </row>
    <row r="3" spans="1:11" x14ac:dyDescent="0.3">
      <c r="A3" t="s">
        <v>126</v>
      </c>
      <c r="C3" t="s">
        <v>133</v>
      </c>
      <c r="E3" t="s">
        <v>141</v>
      </c>
      <c r="G3" t="s">
        <v>145</v>
      </c>
    </row>
    <row r="4" spans="1:11" x14ac:dyDescent="0.3">
      <c r="A4" t="s">
        <v>127</v>
      </c>
      <c r="C4" t="s">
        <v>134</v>
      </c>
      <c r="E4" t="s">
        <v>142</v>
      </c>
      <c r="G4" t="s">
        <v>147</v>
      </c>
    </row>
    <row r="5" spans="1:11" x14ac:dyDescent="0.3">
      <c r="A5" t="s">
        <v>129</v>
      </c>
      <c r="C5" t="s">
        <v>135</v>
      </c>
      <c r="E5" t="s">
        <v>143</v>
      </c>
      <c r="G5" t="s">
        <v>146</v>
      </c>
    </row>
    <row r="7" spans="1:11" x14ac:dyDescent="0.3">
      <c r="A7" t="s">
        <v>167</v>
      </c>
      <c r="C7" t="s">
        <v>171</v>
      </c>
      <c r="E7" t="s">
        <v>154</v>
      </c>
      <c r="G7" t="s">
        <v>179</v>
      </c>
    </row>
    <row r="8" spans="1:11" x14ac:dyDescent="0.3">
      <c r="A8" t="s">
        <v>168</v>
      </c>
      <c r="C8" t="s">
        <v>172</v>
      </c>
      <c r="E8" t="s">
        <v>177</v>
      </c>
    </row>
    <row r="9" spans="1:11" x14ac:dyDescent="0.3">
      <c r="A9" t="s">
        <v>170</v>
      </c>
      <c r="C9" t="s">
        <v>173</v>
      </c>
      <c r="E9" t="s">
        <v>178</v>
      </c>
    </row>
    <row r="10" spans="1:11" x14ac:dyDescent="0.3">
      <c r="A10" t="s">
        <v>169</v>
      </c>
      <c r="C10" t="s">
        <v>174</v>
      </c>
    </row>
    <row r="11" spans="1:11" x14ac:dyDescent="0.3">
      <c r="C11" t="s">
        <v>175</v>
      </c>
    </row>
    <row r="12" spans="1:11" x14ac:dyDescent="0.3">
      <c r="C12" t="s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CAF7-B57F-4215-A604-1735E165CC5D}">
  <dimension ref="A1:E28"/>
  <sheetViews>
    <sheetView tabSelected="1" workbookViewId="0">
      <selection activeCell="C19" sqref="C19"/>
    </sheetView>
  </sheetViews>
  <sheetFormatPr defaultRowHeight="15.6" x14ac:dyDescent="0.3"/>
  <cols>
    <col min="1" max="1" width="21.88671875" style="60" customWidth="1"/>
    <col min="2" max="2" width="44.5546875" style="60" customWidth="1"/>
    <col min="3" max="5" width="12.77734375" style="60" customWidth="1"/>
    <col min="6" max="16384" width="8.88671875" style="60"/>
  </cols>
  <sheetData>
    <row r="1" spans="1:5" x14ac:dyDescent="0.3">
      <c r="A1" s="61" t="s">
        <v>381</v>
      </c>
      <c r="B1" s="61"/>
    </row>
    <row r="2" spans="1:5" x14ac:dyDescent="0.3">
      <c r="A2" s="61" t="s">
        <v>376</v>
      </c>
    </row>
    <row r="3" spans="1:5" x14ac:dyDescent="0.3">
      <c r="A3" s="61" t="s">
        <v>377</v>
      </c>
    </row>
    <row r="4" spans="1:5" x14ac:dyDescent="0.3">
      <c r="A4" s="61" t="s">
        <v>426</v>
      </c>
    </row>
    <row r="6" spans="1:5" x14ac:dyDescent="0.3">
      <c r="A6" s="177" t="s">
        <v>380</v>
      </c>
      <c r="B6" s="177"/>
      <c r="C6" s="177" t="s">
        <v>118</v>
      </c>
      <c r="D6" s="177"/>
      <c r="E6" s="64" t="s">
        <v>262</v>
      </c>
    </row>
    <row r="7" spans="1:5" x14ac:dyDescent="0.3">
      <c r="A7" s="64" t="s">
        <v>378</v>
      </c>
      <c r="B7" s="64" t="s">
        <v>379</v>
      </c>
      <c r="C7" s="64">
        <v>2024</v>
      </c>
      <c r="D7" s="64">
        <v>2023</v>
      </c>
      <c r="E7" s="64">
        <v>2023</v>
      </c>
    </row>
    <row r="8" spans="1:5" x14ac:dyDescent="0.3">
      <c r="A8" s="174" t="s">
        <v>382</v>
      </c>
      <c r="B8" s="67" t="s">
        <v>110</v>
      </c>
      <c r="C8" s="168">
        <f>+'Ratio Workings'!B12</f>
        <v>0.11865622400091803</v>
      </c>
      <c r="D8" s="168">
        <f>+'Ratio Workings'!C12</f>
        <v>6.6343454963000764E-3</v>
      </c>
      <c r="E8" s="169">
        <f>+'Ratio Workings'!E12</f>
        <v>0.27966407336802512</v>
      </c>
    </row>
    <row r="9" spans="1:5" x14ac:dyDescent="0.3">
      <c r="A9" s="175"/>
      <c r="B9" s="67" t="s">
        <v>386</v>
      </c>
      <c r="C9" s="169">
        <f>+'Ratio Workings'!B17</f>
        <v>0.12012623002553288</v>
      </c>
      <c r="D9" s="169">
        <f>+'Ratio Workings'!C17</f>
        <v>1.0410819086501658E-2</v>
      </c>
      <c r="E9" s="168">
        <f>+'Ratio Workings'!E17</f>
        <v>0.27045185223349993</v>
      </c>
    </row>
    <row r="10" spans="1:5" x14ac:dyDescent="0.3">
      <c r="A10" s="175"/>
      <c r="B10" s="67" t="s">
        <v>387</v>
      </c>
      <c r="C10" s="169">
        <f>+'Ratio Workings'!B22</f>
        <v>0.75497030725535763</v>
      </c>
      <c r="D10" s="169">
        <f>+'Ratio Workings'!C22</f>
        <v>0.73335034447563152</v>
      </c>
      <c r="E10" s="169">
        <f>+'Ratio Workings'!E22</f>
        <v>0.87871605955999799</v>
      </c>
    </row>
    <row r="11" spans="1:5" x14ac:dyDescent="0.3">
      <c r="A11" s="175"/>
      <c r="B11" s="67" t="s">
        <v>388</v>
      </c>
      <c r="C11" s="169">
        <f>+'Ratio Workings'!B27</f>
        <v>7.0098724630312276E-2</v>
      </c>
      <c r="D11" s="169">
        <f>+'Ratio Workings'!C27</f>
        <v>3.5711219847197185E-3</v>
      </c>
      <c r="E11" s="169">
        <f>+'Ratio Workings'!E27</f>
        <v>0.35513101508063727</v>
      </c>
    </row>
    <row r="12" spans="1:5" x14ac:dyDescent="0.3">
      <c r="A12" s="175"/>
      <c r="B12" s="67" t="s">
        <v>389</v>
      </c>
      <c r="C12" s="168">
        <f>+'Ratio Workings'!B34</f>
        <v>4.1636466135137315E-2</v>
      </c>
      <c r="D12" s="168">
        <f>+'Ratio Workings'!C34</f>
        <v>2.1436890001958176E-3</v>
      </c>
      <c r="E12" s="169">
        <f>+'Ratio Workings'!E34</f>
        <v>0.1906434391683057</v>
      </c>
    </row>
    <row r="13" spans="1:5" x14ac:dyDescent="0.3">
      <c r="A13" s="176"/>
      <c r="B13" s="67" t="s">
        <v>390</v>
      </c>
      <c r="C13" s="169">
        <f>+'Ratio Workings'!B39</f>
        <v>7.0982802024089034E-2</v>
      </c>
      <c r="D13" s="169">
        <f>+'Ratio Workings'!C39</f>
        <v>5.3722204848824003E-3</v>
      </c>
      <c r="E13" s="168">
        <f>+'Ratio Workings'!E39</f>
        <v>0.41423611111111108</v>
      </c>
    </row>
    <row r="14" spans="1:5" x14ac:dyDescent="0.3">
      <c r="A14" s="174" t="s">
        <v>383</v>
      </c>
      <c r="B14" s="67" t="s">
        <v>112</v>
      </c>
      <c r="C14" s="170">
        <f>+'Ratio Workings'!B45</f>
        <v>0.35089997583957477</v>
      </c>
      <c r="D14" s="170">
        <f>+'Ratio Workings'!C45</f>
        <v>0.32311989199105423</v>
      </c>
      <c r="E14" s="170">
        <f>+'Ratio Workings'!E45</f>
        <v>0.68168727170553522</v>
      </c>
    </row>
    <row r="15" spans="1:5" x14ac:dyDescent="0.3">
      <c r="A15" s="175"/>
      <c r="B15" s="67" t="s">
        <v>391</v>
      </c>
      <c r="C15" s="171">
        <f>+'Ratio Workings'!B50</f>
        <v>0.59090177065409943</v>
      </c>
      <c r="D15" s="171">
        <f>+'Ratio Workings'!C50</f>
        <v>0.51602284510426777</v>
      </c>
      <c r="E15" s="172">
        <f>+'Ratio Workings'!E50</f>
        <v>1.5316445707070707</v>
      </c>
    </row>
    <row r="16" spans="1:5" x14ac:dyDescent="0.3">
      <c r="A16" s="175"/>
      <c r="B16" s="67" t="s">
        <v>198</v>
      </c>
      <c r="C16" s="171">
        <f>+'Ratio Workings'!B55</f>
        <v>3.1446614642067754</v>
      </c>
      <c r="D16" s="171">
        <f>+'Ratio Workings'!C55</f>
        <v>3.0596272079633065</v>
      </c>
      <c r="E16" s="170">
        <f>+'Ratio Workings'!E55</f>
        <v>9.0505945441827933</v>
      </c>
    </row>
    <row r="17" spans="1:5" x14ac:dyDescent="0.3">
      <c r="A17" s="175"/>
      <c r="B17" s="67" t="s">
        <v>197</v>
      </c>
      <c r="C17" s="171">
        <f>+'Ratio Workings'!B65</f>
        <v>1.3289248482962501</v>
      </c>
      <c r="D17" s="171">
        <f>+'Ratio Workings'!C65</f>
        <v>1.3685847589424571</v>
      </c>
      <c r="E17" s="171">
        <f>+'Ratio Workings'!E65</f>
        <v>6.7936507936507935</v>
      </c>
    </row>
    <row r="18" spans="1:5" x14ac:dyDescent="0.3">
      <c r="A18" s="175"/>
      <c r="B18" s="67" t="s">
        <v>199</v>
      </c>
      <c r="C18" s="171">
        <f>+'Ratio Workings'!B76</f>
        <v>-158.58839191333385</v>
      </c>
      <c r="D18" s="171">
        <f>+'Ratio Workings'!C76</f>
        <v>-147.40328440696845</v>
      </c>
      <c r="E18" s="171">
        <f>+'Ratio Workings'!E76</f>
        <v>-13.397793224359262</v>
      </c>
    </row>
    <row r="19" spans="1:5" x14ac:dyDescent="0.3">
      <c r="A19" s="176"/>
      <c r="B19" s="67" t="s">
        <v>176</v>
      </c>
      <c r="C19" s="171">
        <f>+'Ratio Workings'!B81</f>
        <v>9.4322825057502371</v>
      </c>
      <c r="D19" s="171">
        <f>+'Ratio Workings'!C81</f>
        <v>9.6216050329906402</v>
      </c>
      <c r="E19" s="171">
        <f>+'Ratio Workings'!E81</f>
        <v>9.8572879634332153</v>
      </c>
    </row>
    <row r="20" spans="1:5" x14ac:dyDescent="0.3">
      <c r="A20" s="174" t="s">
        <v>384</v>
      </c>
      <c r="B20" s="67" t="s">
        <v>140</v>
      </c>
      <c r="C20" s="171">
        <f>+'Ratio Workings'!B87</f>
        <v>1.0917351958244152</v>
      </c>
      <c r="D20" s="171">
        <f>+'Ratio Workings'!C87</f>
        <v>1.0194662237843266</v>
      </c>
      <c r="E20" s="172">
        <f>+'Ratio Workings'!E87</f>
        <v>1.3433523209307963</v>
      </c>
    </row>
    <row r="21" spans="1:5" x14ac:dyDescent="0.3">
      <c r="A21" s="175"/>
      <c r="B21" s="67" t="s">
        <v>141</v>
      </c>
      <c r="C21" s="171">
        <f>+'Ratio Workings'!B92</f>
        <v>0.9615861214374225</v>
      </c>
      <c r="D21" s="171">
        <f>+'Ratio Workings'!C92</f>
        <v>0.89849754741029697</v>
      </c>
      <c r="E21" s="171">
        <f>+'Ratio Workings'!E92</f>
        <v>1.2199733365652647</v>
      </c>
    </row>
    <row r="22" spans="1:5" x14ac:dyDescent="0.3">
      <c r="A22" s="175"/>
      <c r="B22" s="67" t="s">
        <v>393</v>
      </c>
      <c r="C22" s="171">
        <f>+'Ratio Workings'!B97</f>
        <v>0.21104516648224525</v>
      </c>
      <c r="D22" s="171">
        <f>+'Ratio Workings'!C97</f>
        <v>0.24140235439263866</v>
      </c>
      <c r="E22" s="171">
        <f>+'Ratio Workings'!E97</f>
        <v>0.60037534810509752</v>
      </c>
    </row>
    <row r="23" spans="1:5" x14ac:dyDescent="0.3">
      <c r="A23" s="176"/>
      <c r="B23" s="67" t="s">
        <v>392</v>
      </c>
      <c r="C23" s="171">
        <f>+'Ratio Workings'!B102</f>
        <v>0.67359085269758245</v>
      </c>
      <c r="D23" s="171">
        <f>+'Ratio Workings'!C102</f>
        <v>0.69380900974999571</v>
      </c>
      <c r="E23" s="172">
        <f>+'Ratio Workings'!E102</f>
        <v>0.80282116478992616</v>
      </c>
    </row>
    <row r="24" spans="1:5" x14ac:dyDescent="0.3">
      <c r="A24" s="174" t="s">
        <v>385</v>
      </c>
      <c r="B24" s="67" t="s">
        <v>394</v>
      </c>
      <c r="C24" s="171">
        <f>+'Ratio Workings'!B108</f>
        <v>0.81299650460756279</v>
      </c>
      <c r="D24" s="171">
        <f>+'Ratio Workings'!C108</f>
        <v>0.50475582055650203</v>
      </c>
      <c r="E24" s="171">
        <f>+'Ratio Workings'!E108</f>
        <v>0.73631138449127764</v>
      </c>
    </row>
    <row r="25" spans="1:5" x14ac:dyDescent="0.3">
      <c r="A25" s="175"/>
      <c r="B25" s="67" t="s">
        <v>395</v>
      </c>
      <c r="C25" s="171">
        <f>+'Ratio Workings'!B113</f>
        <v>0.7545281220209723</v>
      </c>
      <c r="D25" s="171">
        <f>+'Ratio Workings'!C113</f>
        <v>0.44811186825667232</v>
      </c>
      <c r="E25" s="171">
        <f>+'Ratio Workings'!E113</f>
        <v>0.70001008369466577</v>
      </c>
    </row>
    <row r="26" spans="1:5" x14ac:dyDescent="0.3">
      <c r="A26" s="175"/>
      <c r="B26" s="67" t="s">
        <v>396</v>
      </c>
      <c r="C26" s="171">
        <f>+'Ratio Workings'!B118</f>
        <v>20.488188976377952</v>
      </c>
      <c r="D26" s="171">
        <f>+'Ratio Workings'!C118</f>
        <v>3.4</v>
      </c>
      <c r="E26" s="171">
        <f>+'Ratio Workings'!E118</f>
        <v>61.168141592920357</v>
      </c>
    </row>
    <row r="27" spans="1:5" x14ac:dyDescent="0.3">
      <c r="A27" s="175"/>
      <c r="B27" s="67" t="s">
        <v>397</v>
      </c>
      <c r="C27" s="171">
        <f>+'Ratio Workings'!B123</f>
        <v>36.074803149606296</v>
      </c>
      <c r="D27" s="171">
        <f>+'Ratio Workings'!C123</f>
        <v>17.167272727272728</v>
      </c>
      <c r="E27" s="172">
        <f>+'Ratio Workings'!E123</f>
        <v>68.884955752212392</v>
      </c>
    </row>
    <row r="28" spans="1:5" x14ac:dyDescent="0.3">
      <c r="A28" s="176"/>
      <c r="B28" s="67" t="s">
        <v>203</v>
      </c>
      <c r="C28" s="171">
        <f>+'Ratio Workings'!B128</f>
        <v>1.6835896784034574</v>
      </c>
      <c r="D28" s="171">
        <f>+'Ratio Workings'!C128</f>
        <v>1.6658768993046613</v>
      </c>
      <c r="E28" s="172">
        <f>+'Ratio Workings'!E128</f>
        <v>1.8628021852203211</v>
      </c>
    </row>
  </sheetData>
  <mergeCells count="6">
    <mergeCell ref="A20:A23"/>
    <mergeCell ref="A24:A28"/>
    <mergeCell ref="C6:D6"/>
    <mergeCell ref="A6:B6"/>
    <mergeCell ref="A8:A13"/>
    <mergeCell ref="A14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3A9F-D459-4A4A-845F-25C77EBE4FE7}">
  <dimension ref="A1:K169"/>
  <sheetViews>
    <sheetView topLeftCell="A53" zoomScale="95" workbookViewId="0">
      <selection activeCell="C79" sqref="C79"/>
    </sheetView>
  </sheetViews>
  <sheetFormatPr defaultRowHeight="15.6" x14ac:dyDescent="0.3"/>
  <cols>
    <col min="1" max="1" width="42.88671875" style="60" bestFit="1" customWidth="1"/>
    <col min="2" max="6" width="12.77734375" style="60" customWidth="1"/>
    <col min="7" max="7" width="8.88671875" style="60"/>
    <col min="8" max="8" width="30.109375" style="60" bestFit="1" customWidth="1"/>
    <col min="9" max="16384" width="8.88671875" style="60"/>
  </cols>
  <sheetData>
    <row r="1" spans="1:11" x14ac:dyDescent="0.3">
      <c r="A1" s="61" t="str">
        <f>+'Ratio Analysis Summary'!A1</f>
        <v>BUSI 226 : Financial Statement Analysis</v>
      </c>
    </row>
    <row r="2" spans="1:11" x14ac:dyDescent="0.3">
      <c r="A2" s="61" t="str">
        <f>+'Ratio Analysis Summary'!A2</f>
        <v>Salesforce Inc</v>
      </c>
    </row>
    <row r="3" spans="1:11" x14ac:dyDescent="0.3">
      <c r="A3" s="61" t="str">
        <f>+'Ratio Analysis Summary'!A3</f>
        <v>For Fiscal year ended January 31, 2024</v>
      </c>
    </row>
    <row r="4" spans="1:11" x14ac:dyDescent="0.3">
      <c r="A4" s="61" t="s">
        <v>427</v>
      </c>
    </row>
    <row r="6" spans="1:11" x14ac:dyDescent="0.3">
      <c r="A6" s="177" t="s">
        <v>247</v>
      </c>
      <c r="B6" s="177" t="s">
        <v>118</v>
      </c>
      <c r="C6" s="177"/>
      <c r="D6" s="177"/>
      <c r="E6" s="177" t="s">
        <v>403</v>
      </c>
      <c r="F6" s="177"/>
      <c r="H6" s="60" t="s">
        <v>164</v>
      </c>
      <c r="I6" s="178" t="s">
        <v>118</v>
      </c>
      <c r="J6" s="178"/>
      <c r="K6" s="165" t="s">
        <v>262</v>
      </c>
    </row>
    <row r="7" spans="1:11" x14ac:dyDescent="0.3">
      <c r="A7" s="177"/>
      <c r="B7" s="64">
        <v>2024</v>
      </c>
      <c r="C7" s="64">
        <v>2023</v>
      </c>
      <c r="D7" s="64">
        <v>2022</v>
      </c>
      <c r="E7" s="64">
        <v>2023</v>
      </c>
      <c r="F7" s="65">
        <v>2022</v>
      </c>
      <c r="I7" s="165">
        <v>2024</v>
      </c>
      <c r="J7" s="165">
        <v>2023</v>
      </c>
      <c r="K7" s="165">
        <v>2023</v>
      </c>
    </row>
    <row r="8" spans="1:11" x14ac:dyDescent="0.3">
      <c r="A8" s="66" t="s">
        <v>398</v>
      </c>
      <c r="B8" s="64"/>
      <c r="C8" s="64"/>
      <c r="D8" s="64"/>
      <c r="E8" s="67"/>
      <c r="F8" s="67"/>
      <c r="H8" s="60" t="s">
        <v>165</v>
      </c>
      <c r="I8" s="135">
        <f>+B12*B45</f>
        <v>4.1636466135137308E-2</v>
      </c>
      <c r="J8" s="135">
        <f>+C12*C45</f>
        <v>2.1436890001958176E-3</v>
      </c>
      <c r="K8" s="135">
        <f>+E12*E45</f>
        <v>0.19064343916830567</v>
      </c>
    </row>
    <row r="9" spans="1:11" x14ac:dyDescent="0.3">
      <c r="A9" s="65" t="s">
        <v>162</v>
      </c>
      <c r="B9" s="67"/>
      <c r="C9" s="67"/>
      <c r="D9" s="67"/>
      <c r="E9" s="67"/>
      <c r="F9" s="67"/>
      <c r="H9" s="60" t="s">
        <v>151</v>
      </c>
      <c r="I9" s="135">
        <f>+B34*B128</f>
        <v>7.0098724630312276E-2</v>
      </c>
      <c r="J9" s="135">
        <f>+C34*C128</f>
        <v>3.5711219847197181E-3</v>
      </c>
      <c r="K9" s="135">
        <f>+E34*E128</f>
        <v>0.35513101508063721</v>
      </c>
    </row>
    <row r="10" spans="1:11" x14ac:dyDescent="0.3">
      <c r="A10" s="67" t="s">
        <v>107</v>
      </c>
      <c r="B10" s="68">
        <f>'SF_P&amp;L'!C19</f>
        <v>4136</v>
      </c>
      <c r="C10" s="68">
        <f>'SF_P&amp;L'!D19</f>
        <v>208</v>
      </c>
      <c r="D10" s="67"/>
      <c r="E10" s="67">
        <f>Adobe_CF!B4</f>
        <v>5428</v>
      </c>
      <c r="F10" s="67"/>
      <c r="H10" s="60" t="s">
        <v>166</v>
      </c>
      <c r="I10" s="135">
        <f>+B12*B45*B128</f>
        <v>7.0098724630312262E-2</v>
      </c>
      <c r="J10" s="135">
        <f>+C12*C45*C128</f>
        <v>3.5711219847197181E-3</v>
      </c>
      <c r="K10" s="135">
        <f>+E12*E45*E128</f>
        <v>0.35513101508063716</v>
      </c>
    </row>
    <row r="11" spans="1:11" x14ac:dyDescent="0.3">
      <c r="A11" s="67" t="s">
        <v>111</v>
      </c>
      <c r="B11" s="68">
        <f>+'SF_P&amp;L'!C4</f>
        <v>34857</v>
      </c>
      <c r="C11" s="68">
        <f>+'SF_P&amp;L'!D4</f>
        <v>31352</v>
      </c>
      <c r="D11" s="67"/>
      <c r="E11" s="67">
        <f>Adobe_PL!B3</f>
        <v>19409</v>
      </c>
      <c r="F11" s="67"/>
    </row>
    <row r="12" spans="1:11" x14ac:dyDescent="0.3">
      <c r="A12" s="67" t="s">
        <v>110</v>
      </c>
      <c r="B12" s="69">
        <f>B10/B11</f>
        <v>0.11865622400091803</v>
      </c>
      <c r="C12" s="69">
        <f>C10/C11</f>
        <v>6.6343454963000764E-3</v>
      </c>
      <c r="D12" s="67"/>
      <c r="E12" s="166">
        <f>E10/E11</f>
        <v>0.27966407336802512</v>
      </c>
      <c r="F12" s="67"/>
    </row>
    <row r="13" spans="1:11" x14ac:dyDescent="0.3">
      <c r="A13" s="67"/>
      <c r="B13" s="69"/>
      <c r="C13" s="69"/>
      <c r="D13" s="67"/>
      <c r="E13" s="67"/>
      <c r="F13" s="67"/>
    </row>
    <row r="14" spans="1:11" x14ac:dyDescent="0.3">
      <c r="A14" s="65" t="s">
        <v>214</v>
      </c>
      <c r="B14" s="67"/>
      <c r="C14" s="67"/>
      <c r="D14" s="67"/>
      <c r="E14" s="67"/>
      <c r="F14" s="67"/>
    </row>
    <row r="15" spans="1:11" x14ac:dyDescent="0.3">
      <c r="A15" s="67" t="s">
        <v>215</v>
      </c>
      <c r="B15" s="71">
        <f>+('SF_P&amp;L'!C14-(-'SF_P&amp;L'!C18-(SUM('SF_P&amp;L'!C15:C16)*0.16)))</f>
        <v>4187.24</v>
      </c>
      <c r="C15" s="71">
        <f>+('SF_P&amp;L'!D14-(-'SF_P&amp;L'!D18-(SUM('SF_P&amp;L'!D15:D16)*0.68)))</f>
        <v>326.39999999999998</v>
      </c>
      <c r="D15" s="67"/>
      <c r="E15" s="73">
        <f>(Adobe_PL!B12-(Adobe_PL!B19+(Adobe_PL!B17*0.2)))</f>
        <v>5249.2</v>
      </c>
      <c r="F15" s="67"/>
    </row>
    <row r="16" spans="1:11" x14ac:dyDescent="0.3">
      <c r="A16" s="67" t="s">
        <v>111</v>
      </c>
      <c r="B16" s="71">
        <f>+'SF_P&amp;L'!C4</f>
        <v>34857</v>
      </c>
      <c r="C16" s="71">
        <f>+'SF_P&amp;L'!D4</f>
        <v>31352</v>
      </c>
      <c r="D16" s="67"/>
      <c r="E16" s="67">
        <f>+Adobe_PL!B3</f>
        <v>19409</v>
      </c>
      <c r="F16" s="67"/>
    </row>
    <row r="17" spans="1:6" x14ac:dyDescent="0.3">
      <c r="A17" s="67" t="s">
        <v>216</v>
      </c>
      <c r="B17" s="72">
        <f>+B15/B16</f>
        <v>0.12012623002553288</v>
      </c>
      <c r="C17" s="72">
        <f>+C15/C16</f>
        <v>1.0410819086501658E-2</v>
      </c>
      <c r="D17" s="67"/>
      <c r="E17" s="69">
        <f>+E15/E16</f>
        <v>0.27045185223349993</v>
      </c>
      <c r="F17" s="67"/>
    </row>
    <row r="18" spans="1:6" x14ac:dyDescent="0.3">
      <c r="A18" s="67"/>
      <c r="B18" s="72"/>
      <c r="C18" s="72"/>
      <c r="D18" s="67"/>
      <c r="E18" s="67"/>
      <c r="F18" s="67"/>
    </row>
    <row r="19" spans="1:6" x14ac:dyDescent="0.3">
      <c r="A19" s="65" t="s">
        <v>180</v>
      </c>
      <c r="B19" s="72"/>
      <c r="C19" s="72"/>
      <c r="D19" s="67"/>
      <c r="E19" s="67"/>
      <c r="F19" s="67"/>
    </row>
    <row r="20" spans="1:6" x14ac:dyDescent="0.3">
      <c r="A20" s="67" t="s">
        <v>181</v>
      </c>
      <c r="B20" s="71">
        <f>+'SF_P&amp;L'!C7</f>
        <v>26316</v>
      </c>
      <c r="C20" s="71">
        <f>+'SF_P&amp;L'!D7</f>
        <v>22992</v>
      </c>
      <c r="D20" s="67"/>
      <c r="E20" s="73">
        <f>Adobe_PL!B5</f>
        <v>17055</v>
      </c>
      <c r="F20" s="67"/>
    </row>
    <row r="21" spans="1:6" x14ac:dyDescent="0.3">
      <c r="A21" s="67" t="s">
        <v>111</v>
      </c>
      <c r="B21" s="71">
        <f>+'SF_P&amp;L'!C4</f>
        <v>34857</v>
      </c>
      <c r="C21" s="71">
        <f>+'SF_P&amp;L'!D4</f>
        <v>31352</v>
      </c>
      <c r="D21" s="67"/>
      <c r="E21" s="67">
        <f>Adobe_PL!B3</f>
        <v>19409</v>
      </c>
      <c r="F21" s="67"/>
    </row>
    <row r="22" spans="1:6" x14ac:dyDescent="0.3">
      <c r="A22" s="67" t="s">
        <v>182</v>
      </c>
      <c r="B22" s="72">
        <f>+B20/B21</f>
        <v>0.75497030725535763</v>
      </c>
      <c r="C22" s="72">
        <f>+C20/C21</f>
        <v>0.73335034447563152</v>
      </c>
      <c r="D22" s="67"/>
      <c r="E22" s="145">
        <f>E20/E21</f>
        <v>0.87871605955999799</v>
      </c>
      <c r="F22" s="67"/>
    </row>
    <row r="23" spans="1:6" x14ac:dyDescent="0.3">
      <c r="A23" s="67"/>
      <c r="B23" s="72"/>
      <c r="C23" s="72"/>
      <c r="D23" s="67"/>
      <c r="E23" s="67"/>
      <c r="F23" s="67"/>
    </row>
    <row r="24" spans="1:6" x14ac:dyDescent="0.3">
      <c r="A24" s="65" t="s">
        <v>114</v>
      </c>
      <c r="B24" s="67"/>
      <c r="C24" s="67"/>
      <c r="D24" s="67"/>
      <c r="E24" s="67"/>
      <c r="F24" s="67"/>
    </row>
    <row r="25" spans="1:6" x14ac:dyDescent="0.3">
      <c r="A25" s="67" t="s">
        <v>107</v>
      </c>
      <c r="B25" s="68">
        <f>B32</f>
        <v>4136</v>
      </c>
      <c r="C25" s="68">
        <f>C32</f>
        <v>208</v>
      </c>
      <c r="D25" s="67"/>
      <c r="E25" s="67">
        <f>'Ratio Workings'!E32</f>
        <v>5428</v>
      </c>
      <c r="F25" s="67"/>
    </row>
    <row r="26" spans="1:6" x14ac:dyDescent="0.3">
      <c r="A26" s="67" t="s">
        <v>149</v>
      </c>
      <c r="B26" s="71">
        <f>(SF_BS!B35+SF_BS!C35)/2</f>
        <v>59002.5</v>
      </c>
      <c r="C26" s="71">
        <f>(SF_BS!C35+SF_BS!D35)/2</f>
        <v>58245</v>
      </c>
      <c r="D26" s="67"/>
      <c r="E26" s="67">
        <f>(Adobe_BS!B38+Adobe_BS!C38)/2</f>
        <v>15284.5</v>
      </c>
      <c r="F26" s="67"/>
    </row>
    <row r="27" spans="1:6" x14ac:dyDescent="0.3">
      <c r="A27" s="67" t="s">
        <v>115</v>
      </c>
      <c r="B27" s="72">
        <f>B25/B26</f>
        <v>7.0098724630312276E-2</v>
      </c>
      <c r="C27" s="72">
        <f>C25/C26</f>
        <v>3.5711219847197185E-3</v>
      </c>
      <c r="D27" s="67"/>
      <c r="E27" s="70">
        <f>E25/E26</f>
        <v>0.35513101508063727</v>
      </c>
      <c r="F27" s="67"/>
    </row>
    <row r="28" spans="1:6" x14ac:dyDescent="0.3">
      <c r="A28" s="75" t="s">
        <v>116</v>
      </c>
      <c r="B28" s="73">
        <f>((SF_BS!B35-SF_BS!B31)+(SF_BS!C35-SF_BS!C31))/2</f>
        <v>66848.5</v>
      </c>
      <c r="C28" s="73">
        <f>((SF_BS!C35-SF_BS!C31)+(SF_BS!D35-SF_BS!D31))/2</f>
        <v>60245</v>
      </c>
      <c r="D28" s="67"/>
      <c r="E28" s="76">
        <f>((Adobe_BS!B38-Adobe_BS!B37)+(Adobe_BS!C38-Adobe_BS!C37))/2</f>
        <v>41270.5</v>
      </c>
      <c r="F28" s="67"/>
    </row>
    <row r="29" spans="1:6" x14ac:dyDescent="0.3">
      <c r="A29" s="75" t="s">
        <v>117</v>
      </c>
      <c r="B29" s="72">
        <f>+B25/B28</f>
        <v>6.1871246176054807E-2</v>
      </c>
      <c r="C29" s="72">
        <f>+C25/C28</f>
        <v>3.4525686778985806E-3</v>
      </c>
      <c r="D29" s="67"/>
      <c r="E29" s="166">
        <f>E25/E28</f>
        <v>0.13152251608291637</v>
      </c>
      <c r="F29" s="67"/>
    </row>
    <row r="30" spans="1:6" x14ac:dyDescent="0.3">
      <c r="A30" s="75"/>
      <c r="B30" s="72"/>
      <c r="C30" s="72"/>
      <c r="D30" s="67"/>
      <c r="E30" s="67"/>
      <c r="F30" s="67"/>
    </row>
    <row r="31" spans="1:6" x14ac:dyDescent="0.3">
      <c r="A31" s="65" t="s">
        <v>152</v>
      </c>
      <c r="B31" s="69"/>
      <c r="C31" s="69"/>
      <c r="D31" s="67"/>
      <c r="E31" s="67"/>
      <c r="F31" s="67"/>
    </row>
    <row r="32" spans="1:6" x14ac:dyDescent="0.3">
      <c r="A32" s="67" t="s">
        <v>107</v>
      </c>
      <c r="B32" s="68">
        <f>'SF_P&amp;L'!C19</f>
        <v>4136</v>
      </c>
      <c r="C32" s="68">
        <f>'SF_P&amp;L'!D19</f>
        <v>208</v>
      </c>
      <c r="D32" s="67"/>
      <c r="E32" s="67">
        <f>Adobe_PL!B20</f>
        <v>5428</v>
      </c>
      <c r="F32" s="67"/>
    </row>
    <row r="33" spans="1:10" x14ac:dyDescent="0.3">
      <c r="A33" s="67" t="s">
        <v>108</v>
      </c>
      <c r="B33" s="68">
        <f>(SF_BS!B16+SF_BS!C16)/2</f>
        <v>99336</v>
      </c>
      <c r="C33" s="68">
        <f>(SF_BS!C16+SF_BS!D16)/2</f>
        <v>97029</v>
      </c>
      <c r="D33" s="67"/>
      <c r="E33" s="67">
        <f>(Adobe_BS!B14+Adobe_BS!C14)/2</f>
        <v>28472</v>
      </c>
      <c r="F33" s="67"/>
    </row>
    <row r="34" spans="1:10" x14ac:dyDescent="0.3">
      <c r="A34" s="67" t="s">
        <v>109</v>
      </c>
      <c r="B34" s="69">
        <f>B32/B33</f>
        <v>4.1636466135137315E-2</v>
      </c>
      <c r="C34" s="69">
        <f>C32/C33</f>
        <v>2.1436890001958176E-3</v>
      </c>
      <c r="D34" s="67"/>
      <c r="E34" s="166">
        <f>E32/E33</f>
        <v>0.1906434391683057</v>
      </c>
      <c r="F34" s="67"/>
    </row>
    <row r="35" spans="1:10" x14ac:dyDescent="0.3">
      <c r="A35" s="67"/>
      <c r="B35" s="69"/>
      <c r="C35" s="69"/>
      <c r="D35" s="67"/>
      <c r="E35" s="67"/>
      <c r="F35" s="67"/>
      <c r="I35" s="167"/>
      <c r="J35" s="167"/>
    </row>
    <row r="36" spans="1:10" x14ac:dyDescent="0.3">
      <c r="A36" s="65" t="s">
        <v>209</v>
      </c>
      <c r="B36" s="67"/>
      <c r="C36" s="67"/>
      <c r="D36" s="67"/>
      <c r="E36" s="67"/>
      <c r="F36" s="67"/>
    </row>
    <row r="37" spans="1:10" x14ac:dyDescent="0.3">
      <c r="A37" s="67" t="s">
        <v>210</v>
      </c>
      <c r="B37" s="73">
        <f>+B15</f>
        <v>4187.24</v>
      </c>
      <c r="C37" s="73">
        <f>+C15</f>
        <v>326.39999999999998</v>
      </c>
      <c r="D37" s="67"/>
      <c r="E37" s="73">
        <f>+E15</f>
        <v>5249.2</v>
      </c>
      <c r="F37" s="67"/>
    </row>
    <row r="38" spans="1:10" x14ac:dyDescent="0.3">
      <c r="A38" s="67" t="s">
        <v>211</v>
      </c>
      <c r="B38" s="71">
        <f>(((SF_BS!B16-SF_BS!B3-SF_BS!B4)-(SF_BS!B26-SF_BS!B19-SF_BS!B21-SF_BS!B23-SF_BS!B24))+((SF_BS!C16-SF_BS!C3-SF_BS!C4)-(SF_BS!C26-SF_BS!C19-SF_BS!C21-SF_BS!C23-SF_BS!C24)))/2</f>
        <v>58989.5</v>
      </c>
      <c r="C38" s="71">
        <f>(((SF_BS!C16-SF_BS!C3-SF_BS!C4)-(SF_BS!C26-SF_BS!C19-SF_BS!C21-SF_BS!C23-SF_BS!C24))+((SF_BS!D16-SF_BS!D3-SF_BS!D4)-(SF_BS!D26-SF_BS!D19-SF_BS!D21-SF_BS!D23-SF_BS!D24)))/2</f>
        <v>60757</v>
      </c>
      <c r="D38" s="67"/>
      <c r="E38" s="73">
        <f>(((Adobe_BS!B14-Adobe_BS!B3-Adobe_BS!B4)-(Adobe_BS!B29-Adobe_BS!B18-Adobe_BS!B21-Adobe_BS!B24-Adobe_BS!B27))+((Adobe_BS!C14-Adobe_BS!C3-Adobe_BS!C4)-(Adobe_BS!C29-Adobe_BS!C18-Adobe_BS!C21-Adobe_BS!C24-Adobe_BS!C27)))/2</f>
        <v>12672</v>
      </c>
      <c r="F38" s="67"/>
    </row>
    <row r="39" spans="1:10" x14ac:dyDescent="0.3">
      <c r="A39" s="67" t="s">
        <v>208</v>
      </c>
      <c r="B39" s="72">
        <f>+B37/B38</f>
        <v>7.0982802024089034E-2</v>
      </c>
      <c r="C39" s="72">
        <f>+C37/C38</f>
        <v>5.3722204848824003E-3</v>
      </c>
      <c r="D39" s="67"/>
      <c r="E39" s="72">
        <f>+E37/E38</f>
        <v>0.41423611111111108</v>
      </c>
      <c r="F39" s="67"/>
    </row>
    <row r="40" spans="1:10" x14ac:dyDescent="0.3">
      <c r="A40" s="67"/>
      <c r="B40" s="72"/>
      <c r="C40" s="72"/>
      <c r="D40" s="67"/>
      <c r="E40" s="67"/>
      <c r="F40" s="67"/>
    </row>
    <row r="41" spans="1:10" x14ac:dyDescent="0.3">
      <c r="A41" s="66" t="s">
        <v>399</v>
      </c>
      <c r="B41" s="69"/>
      <c r="C41" s="69"/>
      <c r="D41" s="67"/>
      <c r="E41" s="67"/>
      <c r="F41" s="67"/>
    </row>
    <row r="42" spans="1:10" x14ac:dyDescent="0.3">
      <c r="A42" s="65" t="s">
        <v>163</v>
      </c>
      <c r="B42" s="67"/>
      <c r="C42" s="67"/>
      <c r="D42" s="67"/>
      <c r="E42" s="67"/>
      <c r="F42" s="67"/>
    </row>
    <row r="43" spans="1:10" x14ac:dyDescent="0.3">
      <c r="A43" s="67" t="s">
        <v>111</v>
      </c>
      <c r="B43" s="68">
        <f>+'SF_P&amp;L'!C4</f>
        <v>34857</v>
      </c>
      <c r="C43" s="68">
        <f>+'SF_P&amp;L'!D4</f>
        <v>31352</v>
      </c>
      <c r="D43" s="67"/>
      <c r="E43" s="67">
        <f>'Ratio Workings'!E11</f>
        <v>19409</v>
      </c>
      <c r="F43" s="67"/>
    </row>
    <row r="44" spans="1:10" x14ac:dyDescent="0.3">
      <c r="A44" s="67" t="s">
        <v>108</v>
      </c>
      <c r="B44" s="68">
        <f>B33</f>
        <v>99336</v>
      </c>
      <c r="C44" s="68">
        <f>C33</f>
        <v>97029</v>
      </c>
      <c r="D44" s="67"/>
      <c r="E44" s="67">
        <f>'Ratio Workings'!E33</f>
        <v>28472</v>
      </c>
      <c r="F44" s="67"/>
    </row>
    <row r="45" spans="1:10" x14ac:dyDescent="0.3">
      <c r="A45" s="67" t="s">
        <v>112</v>
      </c>
      <c r="B45" s="77">
        <f>B43/B44</f>
        <v>0.35089997583957477</v>
      </c>
      <c r="C45" s="77">
        <f>C43/C44</f>
        <v>0.32311989199105423</v>
      </c>
      <c r="D45" s="67"/>
      <c r="E45" s="77">
        <f>E43/E44</f>
        <v>0.68168727170553522</v>
      </c>
      <c r="F45" s="67"/>
    </row>
    <row r="46" spans="1:10" x14ac:dyDescent="0.3">
      <c r="A46" s="67"/>
      <c r="B46" s="67"/>
      <c r="C46" s="67"/>
      <c r="D46" s="67"/>
      <c r="E46" s="67"/>
      <c r="F46" s="67"/>
    </row>
    <row r="47" spans="1:10" x14ac:dyDescent="0.3">
      <c r="A47" s="65" t="s">
        <v>212</v>
      </c>
      <c r="B47" s="67"/>
      <c r="C47" s="67"/>
      <c r="D47" s="67"/>
      <c r="E47" s="67"/>
      <c r="F47" s="67"/>
    </row>
    <row r="48" spans="1:10" x14ac:dyDescent="0.3">
      <c r="A48" s="67" t="s">
        <v>111</v>
      </c>
      <c r="B48" s="78">
        <f>+'SF_P&amp;L'!C4</f>
        <v>34857</v>
      </c>
      <c r="C48" s="78">
        <f>+'SF_P&amp;L'!D4</f>
        <v>31352</v>
      </c>
      <c r="D48" s="67"/>
      <c r="E48" s="67">
        <f>+Adobe_PL!B3</f>
        <v>19409</v>
      </c>
      <c r="F48" s="67"/>
    </row>
    <row r="49" spans="1:6" x14ac:dyDescent="0.3">
      <c r="A49" s="67" t="s">
        <v>211</v>
      </c>
      <c r="B49" s="78">
        <f>+B38</f>
        <v>58989.5</v>
      </c>
      <c r="C49" s="78">
        <f>+C38</f>
        <v>60757</v>
      </c>
      <c r="D49" s="67"/>
      <c r="E49" s="73">
        <f>+E38</f>
        <v>12672</v>
      </c>
      <c r="F49" s="67"/>
    </row>
    <row r="50" spans="1:6" x14ac:dyDescent="0.3">
      <c r="A50" s="67" t="s">
        <v>213</v>
      </c>
      <c r="B50" s="79">
        <f>+B48/B49</f>
        <v>0.59090177065409943</v>
      </c>
      <c r="C50" s="79">
        <f>+C48/C49</f>
        <v>0.51602284510426777</v>
      </c>
      <c r="D50" s="67"/>
      <c r="E50" s="79">
        <f>+E48/E49</f>
        <v>1.5316445707070707</v>
      </c>
      <c r="F50" s="67"/>
    </row>
    <row r="51" spans="1:6" x14ac:dyDescent="0.3">
      <c r="A51" s="67"/>
      <c r="B51" s="67"/>
      <c r="C51" s="67"/>
      <c r="D51" s="67"/>
      <c r="E51" s="67"/>
      <c r="F51" s="67"/>
    </row>
    <row r="52" spans="1:6" x14ac:dyDescent="0.3">
      <c r="A52" s="65" t="s">
        <v>195</v>
      </c>
      <c r="B52" s="67"/>
      <c r="C52" s="67"/>
      <c r="D52" s="67"/>
      <c r="E52" s="67"/>
      <c r="F52" s="67"/>
    </row>
    <row r="53" spans="1:6" x14ac:dyDescent="0.3">
      <c r="A53" s="67" t="s">
        <v>111</v>
      </c>
      <c r="B53" s="78">
        <f>+'SF_P&amp;L'!C4</f>
        <v>34857</v>
      </c>
      <c r="C53" s="78">
        <f>+'SF_P&amp;L'!D4</f>
        <v>31352</v>
      </c>
      <c r="D53" s="67"/>
      <c r="E53" s="67">
        <f>'Ratio Workings'!E141</f>
        <v>19409</v>
      </c>
      <c r="F53" s="67"/>
    </row>
    <row r="54" spans="1:6" x14ac:dyDescent="0.3">
      <c r="A54" s="67" t="s">
        <v>186</v>
      </c>
      <c r="B54" s="78">
        <f>+(SF_BS!B5+SF_BS!C5)/2</f>
        <v>11084.5</v>
      </c>
      <c r="C54" s="78">
        <f>+(SF_BS!C5+SF_BS!D5)/2</f>
        <v>10247</v>
      </c>
      <c r="D54" s="67"/>
      <c r="E54" s="67">
        <f>(Adobe_BS!B5+Adobe_BS!C5)/2</f>
        <v>2144.5</v>
      </c>
      <c r="F54" s="67"/>
    </row>
    <row r="55" spans="1:6" x14ac:dyDescent="0.3">
      <c r="A55" s="67" t="s">
        <v>187</v>
      </c>
      <c r="B55" s="79">
        <f>+B53/B54</f>
        <v>3.1446614642067754</v>
      </c>
      <c r="C55" s="79">
        <f>+C53/C54</f>
        <v>3.0596272079633065</v>
      </c>
      <c r="D55" s="67"/>
      <c r="E55" s="77">
        <f>E53/E54</f>
        <v>9.0505945441827933</v>
      </c>
      <c r="F55" s="67"/>
    </row>
    <row r="56" spans="1:6" x14ac:dyDescent="0.3">
      <c r="A56" s="67"/>
      <c r="B56" s="67"/>
      <c r="C56" s="67"/>
      <c r="D56" s="67"/>
      <c r="E56" s="67"/>
      <c r="F56" s="67"/>
    </row>
    <row r="57" spans="1:6" x14ac:dyDescent="0.3">
      <c r="A57" s="65" t="s">
        <v>188</v>
      </c>
      <c r="B57" s="67"/>
      <c r="C57" s="67"/>
      <c r="D57" s="67"/>
      <c r="E57" s="67"/>
      <c r="F57" s="67"/>
    </row>
    <row r="58" spans="1:6" x14ac:dyDescent="0.3">
      <c r="A58" s="80">
        <v>365</v>
      </c>
      <c r="B58" s="67">
        <v>365</v>
      </c>
      <c r="C58" s="67">
        <v>365</v>
      </c>
      <c r="D58" s="67"/>
      <c r="E58" s="67">
        <v>365</v>
      </c>
      <c r="F58" s="67"/>
    </row>
    <row r="59" spans="1:6" x14ac:dyDescent="0.3">
      <c r="A59" s="67" t="s">
        <v>198</v>
      </c>
      <c r="B59" s="79">
        <f>+B55</f>
        <v>3.1446614642067754</v>
      </c>
      <c r="C59" s="79">
        <f>+C55</f>
        <v>3.0596272079633065</v>
      </c>
      <c r="D59" s="67"/>
      <c r="E59" s="77">
        <f>'Ratio Workings'!E55</f>
        <v>9.0505945441827933</v>
      </c>
      <c r="F59" s="67"/>
    </row>
    <row r="60" spans="1:6" x14ac:dyDescent="0.3">
      <c r="A60" s="67" t="s">
        <v>189</v>
      </c>
      <c r="B60" s="79">
        <f>+B58/B59</f>
        <v>116.06972774478584</v>
      </c>
      <c r="C60" s="79">
        <f>+C58/C59</f>
        <v>119.29557922939524</v>
      </c>
      <c r="D60" s="67"/>
      <c r="E60" s="77">
        <f>E58/E59</f>
        <v>40.328842289659434</v>
      </c>
      <c r="F60" s="67"/>
    </row>
    <row r="61" spans="1:6" x14ac:dyDescent="0.3">
      <c r="A61" s="67"/>
      <c r="B61" s="67"/>
      <c r="C61" s="67"/>
      <c r="D61" s="67"/>
      <c r="E61" s="67"/>
      <c r="F61" s="67"/>
    </row>
    <row r="62" spans="1:6" x14ac:dyDescent="0.3">
      <c r="A62" s="65" t="s">
        <v>196</v>
      </c>
      <c r="B62" s="67"/>
      <c r="C62" s="67"/>
      <c r="D62" s="67"/>
      <c r="E62" s="67"/>
      <c r="F62" s="67"/>
    </row>
    <row r="63" spans="1:6" x14ac:dyDescent="0.3">
      <c r="A63" s="80" t="s">
        <v>190</v>
      </c>
      <c r="B63" s="73">
        <f>+'SF_P&amp;L'!C6</f>
        <v>8541</v>
      </c>
      <c r="C63" s="73">
        <f>+'SF_P&amp;L'!D6</f>
        <v>8360</v>
      </c>
      <c r="D63" s="67"/>
      <c r="E63" s="73">
        <f>Adobe_PL!B4</f>
        <v>2354</v>
      </c>
      <c r="F63" s="67"/>
    </row>
    <row r="64" spans="1:6" x14ac:dyDescent="0.3">
      <c r="A64" s="67" t="s">
        <v>192</v>
      </c>
      <c r="B64" s="78">
        <f>+(SF_BS!B18+SF_BS!C18)/2</f>
        <v>6427</v>
      </c>
      <c r="C64" s="78">
        <f>+(SF_BS!C18+SF_BS!D18)/2</f>
        <v>6108.5</v>
      </c>
      <c r="D64" s="67"/>
      <c r="E64" s="67">
        <f>(Adobe_BS!B16+Adobe_BS!C16)/2</f>
        <v>346.5</v>
      </c>
      <c r="F64" s="67"/>
    </row>
    <row r="65" spans="1:6" x14ac:dyDescent="0.3">
      <c r="A65" s="67" t="s">
        <v>191</v>
      </c>
      <c r="B65" s="79">
        <f>+B63/B64</f>
        <v>1.3289248482962501</v>
      </c>
      <c r="C65" s="79">
        <f>+C63/C64</f>
        <v>1.3685847589424571</v>
      </c>
      <c r="D65" s="67"/>
      <c r="E65" s="81">
        <f>E63/E64</f>
        <v>6.7936507936507935</v>
      </c>
      <c r="F65" s="67"/>
    </row>
    <row r="66" spans="1:6" x14ac:dyDescent="0.3">
      <c r="A66" s="67"/>
      <c r="B66" s="67"/>
      <c r="C66" s="67"/>
      <c r="D66" s="67"/>
      <c r="E66" s="67"/>
      <c r="F66" s="67"/>
    </row>
    <row r="67" spans="1:6" x14ac:dyDescent="0.3">
      <c r="A67" s="65" t="s">
        <v>193</v>
      </c>
      <c r="B67" s="67"/>
      <c r="C67" s="67"/>
      <c r="D67" s="67"/>
      <c r="E67" s="67"/>
      <c r="F67" s="67"/>
    </row>
    <row r="68" spans="1:6" x14ac:dyDescent="0.3">
      <c r="A68" s="80">
        <v>365</v>
      </c>
      <c r="B68" s="67">
        <v>365</v>
      </c>
      <c r="C68" s="67">
        <v>365</v>
      </c>
      <c r="D68" s="67"/>
      <c r="E68" s="67">
        <v>365</v>
      </c>
      <c r="F68" s="67"/>
    </row>
    <row r="69" spans="1:6" x14ac:dyDescent="0.3">
      <c r="A69" s="67" t="s">
        <v>197</v>
      </c>
      <c r="B69" s="79">
        <f>+B65</f>
        <v>1.3289248482962501</v>
      </c>
      <c r="C69" s="79">
        <f>+C65</f>
        <v>1.3685847589424571</v>
      </c>
      <c r="D69" s="67"/>
      <c r="E69" s="79">
        <f>'Ratio Workings'!E65</f>
        <v>6.7936507936507935</v>
      </c>
      <c r="F69" s="67"/>
    </row>
    <row r="70" spans="1:6" x14ac:dyDescent="0.3">
      <c r="A70" s="67" t="s">
        <v>194</v>
      </c>
      <c r="B70" s="79">
        <f>+B68/B69</f>
        <v>274.65811965811969</v>
      </c>
      <c r="C70" s="79">
        <f>+C68/C69</f>
        <v>266.69886363636368</v>
      </c>
      <c r="D70" s="67"/>
      <c r="E70" s="79">
        <f>E68/E69</f>
        <v>53.726635514018696</v>
      </c>
      <c r="F70" s="67"/>
    </row>
    <row r="71" spans="1:6" x14ac:dyDescent="0.3">
      <c r="A71" s="67"/>
      <c r="B71" s="67"/>
      <c r="C71" s="67"/>
      <c r="D71" s="67"/>
      <c r="E71" s="67"/>
      <c r="F71" s="67"/>
    </row>
    <row r="72" spans="1:6" x14ac:dyDescent="0.3">
      <c r="A72" s="65" t="s">
        <v>199</v>
      </c>
      <c r="B72" s="67"/>
      <c r="C72" s="67"/>
      <c r="D72" s="67"/>
      <c r="E72" s="67"/>
      <c r="F72" s="67"/>
    </row>
    <row r="73" spans="1:6" x14ac:dyDescent="0.3">
      <c r="A73" s="67" t="s">
        <v>189</v>
      </c>
      <c r="B73" s="79">
        <f>'Ratio Dumpa'!B63</f>
        <v>116.06972774478584</v>
      </c>
      <c r="C73" s="79">
        <f>'Ratio Dumpa'!C63</f>
        <v>119.29557922939524</v>
      </c>
      <c r="D73" s="67"/>
      <c r="E73" s="79">
        <f>'Ratio Workings'!E60</f>
        <v>40.328842289659434</v>
      </c>
      <c r="F73" s="67"/>
    </row>
    <row r="74" spans="1:6" x14ac:dyDescent="0.3">
      <c r="A74" s="82" t="s">
        <v>200</v>
      </c>
      <c r="B74" s="67">
        <v>0</v>
      </c>
      <c r="C74" s="67">
        <v>0</v>
      </c>
      <c r="D74" s="67"/>
      <c r="E74" s="67">
        <v>0</v>
      </c>
      <c r="F74" s="67"/>
    </row>
    <row r="75" spans="1:6" x14ac:dyDescent="0.3">
      <c r="A75" s="82" t="s">
        <v>201</v>
      </c>
      <c r="B75" s="79">
        <f>'Ratio Dumpa'!B73</f>
        <v>274.65811965811969</v>
      </c>
      <c r="C75" s="79">
        <f>'Ratio Dumpa'!C73</f>
        <v>266.69886363636368</v>
      </c>
      <c r="D75" s="67"/>
      <c r="E75" s="79">
        <f>'Ratio Workings'!E70</f>
        <v>53.726635514018696</v>
      </c>
      <c r="F75" s="67"/>
    </row>
    <row r="76" spans="1:6" x14ac:dyDescent="0.3">
      <c r="A76" s="67" t="s">
        <v>199</v>
      </c>
      <c r="B76" s="79">
        <f>+B73-B75</f>
        <v>-158.58839191333385</v>
      </c>
      <c r="C76" s="79">
        <f>+C73-C75</f>
        <v>-147.40328440696845</v>
      </c>
      <c r="D76" s="67"/>
      <c r="E76" s="79">
        <f>+E73-E75</f>
        <v>-13.397793224359262</v>
      </c>
      <c r="F76" s="67"/>
    </row>
    <row r="77" spans="1:6" x14ac:dyDescent="0.3">
      <c r="A77" s="67"/>
      <c r="B77" s="67"/>
      <c r="C77" s="67"/>
      <c r="D77" s="67"/>
      <c r="E77" s="67"/>
      <c r="F77" s="67"/>
    </row>
    <row r="78" spans="1:6" x14ac:dyDescent="0.3">
      <c r="A78" s="65" t="s">
        <v>176</v>
      </c>
      <c r="B78" s="67"/>
      <c r="C78" s="67"/>
      <c r="D78" s="67"/>
      <c r="E78" s="67"/>
      <c r="F78" s="67"/>
    </row>
    <row r="79" spans="1:6" x14ac:dyDescent="0.3">
      <c r="A79" s="67" t="s">
        <v>111</v>
      </c>
      <c r="B79" s="67">
        <f>+'SF_P&amp;L'!C4</f>
        <v>34857</v>
      </c>
      <c r="C79" s="67">
        <f>+'SF_P&amp;L'!D4</f>
        <v>31352</v>
      </c>
      <c r="D79" s="67"/>
      <c r="E79" s="67">
        <f>Adobe_PL!B3</f>
        <v>19409</v>
      </c>
      <c r="F79" s="67"/>
    </row>
    <row r="80" spans="1:6" x14ac:dyDescent="0.3">
      <c r="A80" s="67" t="s">
        <v>202</v>
      </c>
      <c r="B80" s="73">
        <f>+(SF_BS!B9+SF_BS!C9)/2</f>
        <v>3695.5</v>
      </c>
      <c r="C80" s="73">
        <f>+(SF_BS!C9+SF_BS!D9)/2</f>
        <v>3258.5</v>
      </c>
      <c r="D80" s="67"/>
      <c r="E80" s="67">
        <f>(Adobe_BS!B8+Adobe_BS!C8)/2</f>
        <v>1969</v>
      </c>
      <c r="F80" s="67"/>
    </row>
    <row r="81" spans="1:6" x14ac:dyDescent="0.3">
      <c r="A81" s="67" t="s">
        <v>176</v>
      </c>
      <c r="B81" s="81">
        <f>B79/B80</f>
        <v>9.4322825057502371</v>
      </c>
      <c r="C81" s="81">
        <f>C79/C80</f>
        <v>9.6216050329906402</v>
      </c>
      <c r="D81" s="67"/>
      <c r="E81" s="81">
        <f>E79/E80</f>
        <v>9.8572879634332153</v>
      </c>
      <c r="F81" s="67"/>
    </row>
    <row r="82" spans="1:6" x14ac:dyDescent="0.3">
      <c r="A82" s="67"/>
      <c r="B82" s="67"/>
      <c r="C82" s="67"/>
      <c r="D82" s="67"/>
      <c r="E82" s="67"/>
      <c r="F82" s="67"/>
    </row>
    <row r="83" spans="1:6" x14ac:dyDescent="0.3">
      <c r="A83" s="66" t="s">
        <v>401</v>
      </c>
      <c r="B83" s="67"/>
      <c r="C83" s="67"/>
      <c r="D83" s="67"/>
      <c r="E83" s="67"/>
      <c r="F83" s="67"/>
    </row>
    <row r="84" spans="1:6" x14ac:dyDescent="0.3">
      <c r="A84" s="65" t="s">
        <v>300</v>
      </c>
      <c r="B84" s="67"/>
      <c r="C84" s="67"/>
      <c r="D84" s="67"/>
      <c r="E84" s="67"/>
      <c r="F84" s="67"/>
    </row>
    <row r="85" spans="1:6" x14ac:dyDescent="0.3">
      <c r="A85" s="67" t="s">
        <v>301</v>
      </c>
      <c r="B85" s="73">
        <f>+SF_BS!B8</f>
        <v>29074</v>
      </c>
      <c r="C85" s="73">
        <f>+SF_BS!C8</f>
        <v>26395</v>
      </c>
      <c r="D85" s="67"/>
      <c r="E85" s="73">
        <f>+Adobe_BS!B7</f>
        <v>11084</v>
      </c>
      <c r="F85" s="67"/>
    </row>
    <row r="86" spans="1:6" x14ac:dyDescent="0.3">
      <c r="A86" s="67" t="s">
        <v>239</v>
      </c>
      <c r="B86" s="73">
        <f>+SF_BS!B22</f>
        <v>26631</v>
      </c>
      <c r="C86" s="73">
        <f>+SF_BS!C22</f>
        <v>25891</v>
      </c>
      <c r="D86" s="67"/>
      <c r="E86" s="73">
        <f>+Adobe_BS!B22</f>
        <v>8251</v>
      </c>
      <c r="F86" s="67"/>
    </row>
    <row r="87" spans="1:6" x14ac:dyDescent="0.3">
      <c r="A87" s="67" t="s">
        <v>140</v>
      </c>
      <c r="B87" s="81">
        <f>+B85/B86</f>
        <v>1.0917351958244152</v>
      </c>
      <c r="C87" s="81">
        <f>+C85/C86</f>
        <v>1.0194662237843266</v>
      </c>
      <c r="D87" s="67"/>
      <c r="E87" s="81">
        <f>+E85/E86</f>
        <v>1.3433523209307963</v>
      </c>
      <c r="F87" s="67"/>
    </row>
    <row r="88" spans="1:6" x14ac:dyDescent="0.3">
      <c r="A88" s="67"/>
      <c r="B88" s="67"/>
      <c r="C88" s="67"/>
      <c r="D88" s="67"/>
      <c r="E88" s="67"/>
      <c r="F88" s="67"/>
    </row>
    <row r="89" spans="1:6" x14ac:dyDescent="0.3">
      <c r="A89" s="65" t="s">
        <v>237</v>
      </c>
      <c r="B89" s="67"/>
      <c r="C89" s="67"/>
      <c r="D89" s="67"/>
      <c r="E89" s="67"/>
      <c r="F89" s="67"/>
    </row>
    <row r="90" spans="1:6" x14ac:dyDescent="0.3">
      <c r="A90" s="67" t="s">
        <v>238</v>
      </c>
      <c r="B90" s="73">
        <f>+SF_BS!B3+SF_BS!B4+SF_BS!B5</f>
        <v>25608</v>
      </c>
      <c r="C90" s="73">
        <f>+SF_BS!C3+SF_BS!C4+SF_BS!C5</f>
        <v>23263</v>
      </c>
      <c r="D90" s="67"/>
      <c r="E90" s="73">
        <f>(Adobe_BS!B3+Adobe_BS!B4+Adobe_BS!B5)</f>
        <v>10066</v>
      </c>
      <c r="F90" s="67"/>
    </row>
    <row r="91" spans="1:6" x14ac:dyDescent="0.3">
      <c r="A91" s="67" t="s">
        <v>239</v>
      </c>
      <c r="B91" s="73">
        <f>+SF_BS!B22</f>
        <v>26631</v>
      </c>
      <c r="C91" s="73">
        <f>+SF_BS!C22</f>
        <v>25891</v>
      </c>
      <c r="D91" s="67"/>
      <c r="E91" s="73">
        <f>Adobe_BS!B22</f>
        <v>8251</v>
      </c>
      <c r="F91" s="67"/>
    </row>
    <row r="92" spans="1:6" x14ac:dyDescent="0.3">
      <c r="A92" s="67" t="s">
        <v>237</v>
      </c>
      <c r="B92" s="81">
        <f>+B90/B91</f>
        <v>0.9615861214374225</v>
      </c>
      <c r="C92" s="81">
        <f>+C90/C91</f>
        <v>0.89849754741029697</v>
      </c>
      <c r="D92" s="67"/>
      <c r="E92" s="81">
        <f>+E90/E91</f>
        <v>1.2199733365652647</v>
      </c>
      <c r="F92" s="67"/>
    </row>
    <row r="93" spans="1:6" x14ac:dyDescent="0.3">
      <c r="A93" s="67"/>
      <c r="B93" s="67"/>
      <c r="C93" s="67"/>
      <c r="D93" s="67"/>
      <c r="E93" s="67"/>
      <c r="F93" s="67"/>
    </row>
    <row r="94" spans="1:6" x14ac:dyDescent="0.3">
      <c r="A94" s="65" t="s">
        <v>240</v>
      </c>
      <c r="B94" s="67"/>
      <c r="C94" s="67"/>
      <c r="D94" s="67"/>
      <c r="E94" s="67"/>
      <c r="F94" s="67"/>
    </row>
    <row r="95" spans="1:6" x14ac:dyDescent="0.3">
      <c r="A95" s="67" t="s">
        <v>241</v>
      </c>
      <c r="B95" s="73">
        <f>+SF_BS!B23+SF_BS!B24+SF_BS!B21+SF_BS!B19</f>
        <v>12588</v>
      </c>
      <c r="C95" s="73">
        <f>+SF_BS!C23+SF_BS!C24+SF_BS!C21+SF_BS!C19</f>
        <v>14088</v>
      </c>
      <c r="D95" s="67"/>
      <c r="E95" s="73">
        <f>'Ratio Workings'!E112</f>
        <v>9917</v>
      </c>
      <c r="F95" s="67"/>
    </row>
    <row r="96" spans="1:6" x14ac:dyDescent="0.3">
      <c r="A96" s="67" t="s">
        <v>205</v>
      </c>
      <c r="B96" s="73">
        <f>+SF_BS!B35</f>
        <v>59646</v>
      </c>
      <c r="C96" s="73">
        <f>+SF_BS!C35</f>
        <v>58359</v>
      </c>
      <c r="D96" s="67"/>
      <c r="E96" s="73">
        <f>Adobe_BS!B38</f>
        <v>16518</v>
      </c>
      <c r="F96" s="67"/>
    </row>
    <row r="97" spans="1:6" x14ac:dyDescent="0.3">
      <c r="A97" s="67" t="s">
        <v>240</v>
      </c>
      <c r="B97" s="81">
        <f>+B95/B96</f>
        <v>0.21104516648224525</v>
      </c>
      <c r="C97" s="81">
        <f>+C95/C96</f>
        <v>0.24140235439263866</v>
      </c>
      <c r="D97" s="67"/>
      <c r="E97" s="81">
        <f>+E95/E96</f>
        <v>0.60037534810509752</v>
      </c>
      <c r="F97" s="67"/>
    </row>
    <row r="98" spans="1:6" x14ac:dyDescent="0.3">
      <c r="A98" s="67"/>
      <c r="B98" s="81"/>
      <c r="C98" s="81"/>
      <c r="D98" s="67"/>
      <c r="E98" s="67"/>
      <c r="F98" s="67"/>
    </row>
    <row r="99" spans="1:6" x14ac:dyDescent="0.3">
      <c r="A99" s="65" t="s">
        <v>177</v>
      </c>
      <c r="B99" s="67"/>
      <c r="C99" s="67"/>
      <c r="D99" s="67"/>
      <c r="E99" s="67"/>
      <c r="F99" s="67"/>
    </row>
    <row r="100" spans="1:6" x14ac:dyDescent="0.3">
      <c r="A100" s="67" t="s">
        <v>204</v>
      </c>
      <c r="B100" s="73">
        <f>+SF_BS!B26</f>
        <v>40177</v>
      </c>
      <c r="C100" s="73">
        <f>+SF_BS!C26</f>
        <v>40490</v>
      </c>
      <c r="D100" s="67"/>
      <c r="E100" s="73">
        <f>+Adobe_BS!B29</f>
        <v>13261</v>
      </c>
      <c r="F100" s="67"/>
    </row>
    <row r="101" spans="1:6" x14ac:dyDescent="0.3">
      <c r="A101" s="67" t="s">
        <v>205</v>
      </c>
      <c r="B101" s="73">
        <f>+SF_BS!B35</f>
        <v>59646</v>
      </c>
      <c r="C101" s="73">
        <f>+SF_BS!C35</f>
        <v>58359</v>
      </c>
      <c r="D101" s="67"/>
      <c r="E101" s="73">
        <f>+Adobe_BS!B38</f>
        <v>16518</v>
      </c>
      <c r="F101" s="67"/>
    </row>
    <row r="102" spans="1:6" x14ac:dyDescent="0.3">
      <c r="A102" s="67" t="s">
        <v>177</v>
      </c>
      <c r="B102" s="81">
        <f>+B100/B101</f>
        <v>0.67359085269758245</v>
      </c>
      <c r="C102" s="81">
        <f>+C100/C101</f>
        <v>0.69380900974999571</v>
      </c>
      <c r="D102" s="67"/>
      <c r="E102" s="89">
        <f>+E100/E101</f>
        <v>0.80282116478992616</v>
      </c>
      <c r="F102" s="67"/>
    </row>
    <row r="103" spans="1:6" x14ac:dyDescent="0.3">
      <c r="A103" s="67"/>
      <c r="B103" s="67"/>
      <c r="C103" s="67"/>
      <c r="D103" s="67"/>
      <c r="E103" s="67"/>
      <c r="F103" s="67"/>
    </row>
    <row r="104" spans="1:6" x14ac:dyDescent="0.3">
      <c r="A104" s="66" t="s">
        <v>402</v>
      </c>
      <c r="B104" s="67"/>
      <c r="C104" s="67"/>
      <c r="D104" s="67"/>
      <c r="E104" s="67"/>
      <c r="F104" s="67"/>
    </row>
    <row r="105" spans="1:6" x14ac:dyDescent="0.3">
      <c r="A105" s="65" t="s">
        <v>233</v>
      </c>
      <c r="B105" s="67"/>
      <c r="C105" s="67"/>
      <c r="D105" s="67"/>
      <c r="E105" s="67"/>
      <c r="F105" s="67"/>
    </row>
    <row r="106" spans="1:6" x14ac:dyDescent="0.3">
      <c r="A106" s="67" t="s">
        <v>232</v>
      </c>
      <c r="B106" s="73">
        <f>+SF_CF!B17</f>
        <v>10234</v>
      </c>
      <c r="C106" s="73">
        <f>+SF_CF!C17</f>
        <v>7111</v>
      </c>
      <c r="D106" s="67"/>
      <c r="E106" s="73">
        <f>Adobe_CF!B19</f>
        <v>7302</v>
      </c>
      <c r="F106" s="67"/>
    </row>
    <row r="107" spans="1:6" x14ac:dyDescent="0.3">
      <c r="A107" s="67" t="s">
        <v>234</v>
      </c>
      <c r="B107" s="73">
        <f>+(SF_BS!B19+SF_BS!B21+SF_BS!B23+SF_BS!B24)</f>
        <v>12588</v>
      </c>
      <c r="C107" s="73">
        <f>+(SF_BS!C19+SF_BS!C21+SF_BS!C23+SF_BS!C24)</f>
        <v>14088</v>
      </c>
      <c r="D107" s="73"/>
      <c r="E107" s="73">
        <f>(Adobe_BS!B19+Adobe_BS!B21+Adobe_BS!B24+Adobe_BS!B27)</f>
        <v>9917</v>
      </c>
      <c r="F107" s="67"/>
    </row>
    <row r="108" spans="1:6" x14ac:dyDescent="0.3">
      <c r="A108" s="67" t="s">
        <v>233</v>
      </c>
      <c r="B108" s="81">
        <f>+B106/B107</f>
        <v>0.81299650460756279</v>
      </c>
      <c r="C108" s="81">
        <f>+C106/C107</f>
        <v>0.50475582055650203</v>
      </c>
      <c r="D108" s="67"/>
      <c r="E108" s="81">
        <f>+E106/E107</f>
        <v>0.73631138449127764</v>
      </c>
      <c r="F108" s="67"/>
    </row>
    <row r="109" spans="1:6" x14ac:dyDescent="0.3">
      <c r="A109" s="67"/>
      <c r="B109" s="67"/>
      <c r="C109" s="67"/>
      <c r="D109" s="67"/>
      <c r="E109" s="67"/>
      <c r="F109" s="67"/>
    </row>
    <row r="110" spans="1:6" x14ac:dyDescent="0.3">
      <c r="A110" s="65" t="s">
        <v>235</v>
      </c>
      <c r="B110" s="67"/>
      <c r="C110" s="67"/>
      <c r="D110" s="67"/>
      <c r="E110" s="67"/>
      <c r="F110" s="67"/>
    </row>
    <row r="111" spans="1:6" x14ac:dyDescent="0.3">
      <c r="A111" s="67" t="s">
        <v>236</v>
      </c>
      <c r="B111" s="73">
        <f>+SF_CF!B17+SF_CF!B25</f>
        <v>9498</v>
      </c>
      <c r="C111" s="73">
        <f>+SF_CF!C17+SF_CF!C25</f>
        <v>6313</v>
      </c>
      <c r="D111" s="67"/>
      <c r="E111" s="73">
        <f>Adobe_CF!B19+Adobe_CF!B25</f>
        <v>6942</v>
      </c>
      <c r="F111" s="67"/>
    </row>
    <row r="112" spans="1:6" x14ac:dyDescent="0.3">
      <c r="A112" s="67" t="s">
        <v>234</v>
      </c>
      <c r="B112" s="73">
        <f>+SF_BS!B19+SF_BS!B21+SF_BS!B23+SF_BS!B24</f>
        <v>12588</v>
      </c>
      <c r="C112" s="73">
        <f>+SF_BS!C19+SF_BS!C21+SF_BS!C23+SF_BS!C24</f>
        <v>14088</v>
      </c>
      <c r="D112" s="67"/>
      <c r="E112" s="73">
        <f>'Ratio Workings'!E107</f>
        <v>9917</v>
      </c>
      <c r="F112" s="67"/>
    </row>
    <row r="113" spans="1:6" x14ac:dyDescent="0.3">
      <c r="A113" s="67" t="s">
        <v>235</v>
      </c>
      <c r="B113" s="81">
        <f>+B111/B112</f>
        <v>0.7545281220209723</v>
      </c>
      <c r="C113" s="81">
        <f>+C111/C112</f>
        <v>0.44811186825667232</v>
      </c>
      <c r="D113" s="67"/>
      <c r="E113" s="81">
        <f>+E111/E112</f>
        <v>0.70001008369466577</v>
      </c>
      <c r="F113" s="67"/>
    </row>
    <row r="114" spans="1:6" x14ac:dyDescent="0.3">
      <c r="A114" s="67"/>
      <c r="B114" s="81"/>
      <c r="C114" s="81"/>
      <c r="D114" s="67"/>
      <c r="E114" s="67"/>
      <c r="F114" s="67"/>
    </row>
    <row r="115" spans="1:6" x14ac:dyDescent="0.3">
      <c r="A115" s="65" t="s">
        <v>178</v>
      </c>
      <c r="B115" s="67"/>
      <c r="C115" s="67"/>
      <c r="D115" s="67"/>
      <c r="E115" s="67"/>
      <c r="F115" s="67"/>
    </row>
    <row r="116" spans="1:6" x14ac:dyDescent="0.3">
      <c r="A116" s="67" t="s">
        <v>206</v>
      </c>
      <c r="B116" s="73">
        <f>+'SF_P&amp;L'!C17+254</f>
        <v>5204</v>
      </c>
      <c r="C116" s="73">
        <f>+'SF_P&amp;L'!D17+275</f>
        <v>935</v>
      </c>
      <c r="D116" s="67"/>
      <c r="E116" s="73">
        <f>Adobe_PL!B18-Adobe_PL!B14</f>
        <v>6912</v>
      </c>
      <c r="F116" s="67"/>
    </row>
    <row r="117" spans="1:6" x14ac:dyDescent="0.3">
      <c r="A117" s="67" t="s">
        <v>207</v>
      </c>
      <c r="B117" s="67">
        <v>254</v>
      </c>
      <c r="C117" s="67">
        <v>275</v>
      </c>
      <c r="D117" s="67"/>
      <c r="E117" s="73">
        <f>-Adobe_PL!B14</f>
        <v>113</v>
      </c>
      <c r="F117" s="67"/>
    </row>
    <row r="118" spans="1:6" x14ac:dyDescent="0.3">
      <c r="A118" s="67" t="s">
        <v>178</v>
      </c>
      <c r="B118" s="81">
        <f>+B116/B117</f>
        <v>20.488188976377952</v>
      </c>
      <c r="C118" s="81">
        <f>+C116/C117</f>
        <v>3.4</v>
      </c>
      <c r="D118" s="67"/>
      <c r="E118" s="81">
        <f>+E116/E117</f>
        <v>61.168141592920357</v>
      </c>
      <c r="F118" s="67"/>
    </row>
    <row r="119" spans="1:6" x14ac:dyDescent="0.3">
      <c r="A119" s="67"/>
      <c r="B119" s="81"/>
      <c r="C119" s="81"/>
      <c r="D119" s="67"/>
      <c r="E119" s="67"/>
      <c r="F119" s="67"/>
    </row>
    <row r="120" spans="1:6" x14ac:dyDescent="0.3">
      <c r="A120" s="65" t="s">
        <v>400</v>
      </c>
      <c r="B120" s="89"/>
      <c r="C120" s="89"/>
      <c r="D120" s="67"/>
      <c r="E120" s="67"/>
      <c r="F120" s="67"/>
    </row>
    <row r="121" spans="1:6" x14ac:dyDescent="0.3">
      <c r="A121" s="67" t="s">
        <v>431</v>
      </c>
      <c r="B121" s="89">
        <f>+'SF_P&amp;L'!C17+SF_CF!B6+254</f>
        <v>9163</v>
      </c>
      <c r="C121" s="89">
        <f>+'SF_P&amp;L'!D17+SF_CF!C6+275</f>
        <v>4721</v>
      </c>
      <c r="D121" s="67"/>
      <c r="E121" s="73">
        <f>+Adobe_PL!B18-Adobe_PL!B14+Adobe_CF!B6</f>
        <v>7784</v>
      </c>
      <c r="F121" s="67"/>
    </row>
    <row r="122" spans="1:6" x14ac:dyDescent="0.3">
      <c r="A122" s="67" t="s">
        <v>207</v>
      </c>
      <c r="B122" s="89">
        <v>254</v>
      </c>
      <c r="C122" s="89">
        <v>275</v>
      </c>
      <c r="D122" s="67"/>
      <c r="E122" s="67">
        <v>113</v>
      </c>
      <c r="F122" s="67"/>
    </row>
    <row r="123" spans="1:6" x14ac:dyDescent="0.3">
      <c r="A123" s="67" t="s">
        <v>400</v>
      </c>
      <c r="B123" s="89">
        <f>+B121/B122</f>
        <v>36.074803149606296</v>
      </c>
      <c r="C123" s="89">
        <f>+C121/C122</f>
        <v>17.167272727272728</v>
      </c>
      <c r="D123" s="67"/>
      <c r="E123" s="89">
        <f>+E121/E122</f>
        <v>68.884955752212392</v>
      </c>
      <c r="F123" s="67"/>
    </row>
    <row r="124" spans="1:6" x14ac:dyDescent="0.3">
      <c r="A124" s="67"/>
      <c r="B124" s="81"/>
      <c r="C124" s="81"/>
      <c r="D124" s="67"/>
      <c r="E124" s="67"/>
      <c r="F124" s="67"/>
    </row>
    <row r="125" spans="1:6" x14ac:dyDescent="0.3">
      <c r="A125" s="65" t="s">
        <v>155</v>
      </c>
      <c r="B125" s="67"/>
      <c r="C125" s="67"/>
      <c r="D125" s="67"/>
      <c r="E125" s="67"/>
      <c r="F125" s="67"/>
    </row>
    <row r="126" spans="1:6" x14ac:dyDescent="0.3">
      <c r="A126" s="67" t="s">
        <v>156</v>
      </c>
      <c r="B126" s="78">
        <f>(SF_BS!B16+SF_BS!C16)/2</f>
        <v>99336</v>
      </c>
      <c r="C126" s="78">
        <f>(SF_BS!C16+SF_BS!D16)/2</f>
        <v>97029</v>
      </c>
      <c r="D126" s="67"/>
      <c r="E126" s="67">
        <f>'Ratio Dumpa'!I31</f>
        <v>28472</v>
      </c>
      <c r="F126" s="67"/>
    </row>
    <row r="127" spans="1:6" x14ac:dyDescent="0.3">
      <c r="A127" s="67" t="s">
        <v>149</v>
      </c>
      <c r="B127" s="78">
        <f>+(SF_BS!B35+SF_BS!C35)/2</f>
        <v>59002.5</v>
      </c>
      <c r="C127" s="78">
        <f>+(SF_BS!C35+SF_BS!D35)/2</f>
        <v>58245</v>
      </c>
      <c r="D127" s="67"/>
      <c r="E127" s="67">
        <f>'Ratio Workings'!E26</f>
        <v>15284.5</v>
      </c>
      <c r="F127" s="67"/>
    </row>
    <row r="128" spans="1:6" x14ac:dyDescent="0.3">
      <c r="A128" s="67" t="s">
        <v>157</v>
      </c>
      <c r="B128" s="81">
        <f>+B126/B127</f>
        <v>1.6835896784034574</v>
      </c>
      <c r="C128" s="81">
        <f>+C126/C127</f>
        <v>1.6658768993046613</v>
      </c>
      <c r="D128" s="67"/>
      <c r="E128" s="83">
        <f>E126/E127</f>
        <v>1.8628021852203211</v>
      </c>
      <c r="F128" s="67"/>
    </row>
    <row r="129" spans="1:6" x14ac:dyDescent="0.3">
      <c r="A129" s="67"/>
      <c r="B129" s="81"/>
      <c r="C129" s="81"/>
      <c r="D129" s="67"/>
      <c r="E129" s="67"/>
      <c r="F129" s="67"/>
    </row>
    <row r="130" spans="1:6" ht="16.2" x14ac:dyDescent="0.3">
      <c r="A130" s="84" t="s">
        <v>150</v>
      </c>
      <c r="B130" s="67"/>
      <c r="C130" s="67"/>
      <c r="D130" s="67"/>
      <c r="E130" s="67"/>
      <c r="F130" s="67"/>
    </row>
    <row r="131" spans="1:6" ht="16.2" x14ac:dyDescent="0.3">
      <c r="A131" s="84" t="s">
        <v>151</v>
      </c>
      <c r="B131" s="85">
        <f>+B34*B128</f>
        <v>7.0098724630312276E-2</v>
      </c>
      <c r="C131" s="85">
        <f>+C34*C128</f>
        <v>3.5711219847197181E-3</v>
      </c>
      <c r="D131" s="67"/>
      <c r="E131" s="85">
        <f>+E34*E128</f>
        <v>0.35513101508063721</v>
      </c>
      <c r="F131" s="67"/>
    </row>
    <row r="132" spans="1:6" x14ac:dyDescent="0.3">
      <c r="A132" s="67"/>
      <c r="B132" s="78"/>
      <c r="C132" s="78"/>
      <c r="D132" s="67"/>
      <c r="E132" s="67"/>
      <c r="F132" s="67"/>
    </row>
    <row r="133" spans="1:6" x14ac:dyDescent="0.3">
      <c r="A133" s="65" t="s">
        <v>160</v>
      </c>
      <c r="B133" s="78"/>
      <c r="C133" s="78"/>
      <c r="D133" s="67"/>
      <c r="E133" s="67"/>
      <c r="F133" s="67"/>
    </row>
    <row r="134" spans="1:6" x14ac:dyDescent="0.3">
      <c r="A134" s="67" t="s">
        <v>158</v>
      </c>
      <c r="B134" s="78">
        <f>'SF_P&amp;L'!C19</f>
        <v>4136</v>
      </c>
      <c r="C134" s="78">
        <f>'SF_P&amp;L'!D19</f>
        <v>208</v>
      </c>
      <c r="D134" s="67"/>
      <c r="E134" s="67">
        <f>'Ratio Dumpa'!I30</f>
        <v>5428</v>
      </c>
      <c r="F134" s="67"/>
    </row>
    <row r="135" spans="1:6" x14ac:dyDescent="0.3">
      <c r="A135" s="67" t="s">
        <v>159</v>
      </c>
      <c r="B135" s="78">
        <f>(SF_BS!B35+SF_BS!C35)/2</f>
        <v>59002.5</v>
      </c>
      <c r="C135" s="78">
        <f>(SF_BS!C35+SF_BS!D35)/2</f>
        <v>58245</v>
      </c>
      <c r="D135" s="67"/>
      <c r="E135" s="67">
        <f>'Ratio Workings'!E127</f>
        <v>15284.5</v>
      </c>
      <c r="F135" s="67"/>
    </row>
    <row r="136" spans="1:6" x14ac:dyDescent="0.3">
      <c r="A136" s="67" t="s">
        <v>161</v>
      </c>
      <c r="B136" s="85">
        <f>B134/B135</f>
        <v>7.0098724630312276E-2</v>
      </c>
      <c r="C136" s="85">
        <f>C134/C135</f>
        <v>3.5711219847197185E-3</v>
      </c>
      <c r="D136" s="67"/>
      <c r="E136" s="70">
        <f>E134/E135</f>
        <v>0.35513101508063727</v>
      </c>
      <c r="F136" s="67"/>
    </row>
    <row r="137" spans="1:6" x14ac:dyDescent="0.3">
      <c r="A137" s="67"/>
      <c r="B137" s="67"/>
      <c r="C137" s="67"/>
      <c r="D137" s="67"/>
      <c r="E137" s="67"/>
      <c r="F137" s="67"/>
    </row>
    <row r="138" spans="1:6" x14ac:dyDescent="0.3">
      <c r="A138" s="67"/>
      <c r="B138" s="67"/>
      <c r="C138" s="67"/>
      <c r="D138" s="67"/>
      <c r="E138" s="67"/>
      <c r="F138" s="67"/>
    </row>
    <row r="139" spans="1:6" x14ac:dyDescent="0.3">
      <c r="A139" s="65" t="s">
        <v>184</v>
      </c>
      <c r="B139" s="67"/>
      <c r="C139" s="67"/>
      <c r="D139" s="67"/>
      <c r="E139" s="67"/>
      <c r="F139" s="67"/>
    </row>
    <row r="140" spans="1:6" x14ac:dyDescent="0.3">
      <c r="A140" s="67" t="s">
        <v>299</v>
      </c>
      <c r="B140" s="73">
        <f>+'SF_P&amp;L'!C13</f>
        <v>21305</v>
      </c>
      <c r="C140" s="73">
        <f>+'SF_P&amp;L'!D13</f>
        <v>21962</v>
      </c>
      <c r="D140" s="67"/>
      <c r="E140" s="73">
        <f>Adobe_PL!B11</f>
        <v>10405</v>
      </c>
      <c r="F140" s="67"/>
    </row>
    <row r="141" spans="1:6" x14ac:dyDescent="0.3">
      <c r="A141" s="67" t="s">
        <v>111</v>
      </c>
      <c r="B141" s="78">
        <f>+'SF_P&amp;L'!C4</f>
        <v>34857</v>
      </c>
      <c r="C141" s="78">
        <f>+'SF_P&amp;L'!D4</f>
        <v>31352</v>
      </c>
      <c r="D141" s="67"/>
      <c r="E141" s="67">
        <f>'Ratio Workings'!E21</f>
        <v>19409</v>
      </c>
      <c r="F141" s="67"/>
    </row>
    <row r="142" spans="1:6" x14ac:dyDescent="0.3">
      <c r="A142" s="67" t="s">
        <v>185</v>
      </c>
      <c r="B142" s="85">
        <f>+B140/B141</f>
        <v>0.61121152135869405</v>
      </c>
      <c r="C142" s="85">
        <f>+C140/C141</f>
        <v>0.7004975759122225</v>
      </c>
      <c r="D142" s="67"/>
      <c r="E142" s="74">
        <f>E140/E141</f>
        <v>0.53609150394147043</v>
      </c>
      <c r="F142" s="67"/>
    </row>
    <row r="143" spans="1:6" x14ac:dyDescent="0.3">
      <c r="A143" s="67"/>
      <c r="B143" s="85"/>
      <c r="C143" s="85"/>
      <c r="D143" s="67"/>
      <c r="E143" s="67"/>
      <c r="F143" s="67"/>
    </row>
    <row r="144" spans="1:6" x14ac:dyDescent="0.3">
      <c r="A144" s="67" t="s">
        <v>250</v>
      </c>
      <c r="B144" s="72">
        <f>+B50*B17</f>
        <v>7.098280202408902E-2</v>
      </c>
      <c r="C144" s="72">
        <f>+C50*C17</f>
        <v>5.3722204848823995E-3</v>
      </c>
      <c r="D144" s="67"/>
      <c r="E144" s="72">
        <f>+E50*E17</f>
        <v>0.41423611111111114</v>
      </c>
      <c r="F144" s="67"/>
    </row>
    <row r="145" spans="1:6" x14ac:dyDescent="0.3">
      <c r="A145" s="67"/>
      <c r="B145" s="67"/>
      <c r="C145" s="67"/>
      <c r="D145" s="67"/>
      <c r="E145" s="67"/>
      <c r="F145" s="67"/>
    </row>
    <row r="146" spans="1:6" x14ac:dyDescent="0.3">
      <c r="A146" s="65" t="s">
        <v>219</v>
      </c>
      <c r="B146" s="67"/>
      <c r="C146" s="67"/>
      <c r="D146" s="67"/>
      <c r="E146" s="67"/>
      <c r="F146" s="67"/>
    </row>
    <row r="147" spans="1:6" x14ac:dyDescent="0.3">
      <c r="A147" s="67" t="s">
        <v>217</v>
      </c>
      <c r="B147" s="73">
        <f>+SF_BS!B19+SF_BS!B21+SF_BS!B23+SF_BS!B24</f>
        <v>12588</v>
      </c>
      <c r="C147" s="73">
        <f>+SF_BS!C19+SF_BS!C21+SF_BS!C23+SF_BS!C24</f>
        <v>14088</v>
      </c>
      <c r="D147" s="73">
        <f>+SF_BS!D19+SF_BS!D21+SF_BS!D23+SF_BS!D24</f>
        <v>13981</v>
      </c>
      <c r="E147" s="73">
        <f>Adobe_BS!B18+Adobe_BS!B21</f>
        <v>73</v>
      </c>
      <c r="F147" s="73">
        <f>Adobe_BS!C18+Adobe_BS!C21</f>
        <v>587</v>
      </c>
    </row>
    <row r="148" spans="1:6" x14ac:dyDescent="0.3">
      <c r="A148" s="67" t="s">
        <v>218</v>
      </c>
      <c r="B148" s="73">
        <f>+SF_BS!B3+SF_BS!B4</f>
        <v>14194</v>
      </c>
      <c r="C148" s="73">
        <f>+SF_BS!C3+SF_BS!C4</f>
        <v>12508</v>
      </c>
      <c r="D148" s="73">
        <f>+SF_BS!D3+SF_BS!D4</f>
        <v>10537</v>
      </c>
      <c r="E148" s="73">
        <f>Adobe_BS!B3+Adobe_BS!B4</f>
        <v>7842</v>
      </c>
      <c r="F148" s="73">
        <f>Adobe_BS!C3+Adobe_BS!C4</f>
        <v>6096</v>
      </c>
    </row>
    <row r="149" spans="1:6" x14ac:dyDescent="0.3">
      <c r="A149" s="67" t="s">
        <v>220</v>
      </c>
      <c r="B149" s="73">
        <f>+B147-B148</f>
        <v>-1606</v>
      </c>
      <c r="C149" s="73">
        <f>+C147-C148</f>
        <v>1580</v>
      </c>
      <c r="D149" s="73">
        <f>+D147-D148</f>
        <v>3444</v>
      </c>
      <c r="E149" s="73">
        <f>+E147-E148</f>
        <v>-7769</v>
      </c>
      <c r="F149" s="73">
        <f>+F147-F148</f>
        <v>-5509</v>
      </c>
    </row>
    <row r="150" spans="1:6" x14ac:dyDescent="0.3">
      <c r="A150" s="67"/>
      <c r="B150" s="67"/>
      <c r="C150" s="67"/>
      <c r="D150" s="67"/>
      <c r="E150" s="67"/>
      <c r="F150" s="67"/>
    </row>
    <row r="151" spans="1:6" x14ac:dyDescent="0.3">
      <c r="A151" s="65" t="s">
        <v>224</v>
      </c>
      <c r="B151" s="67"/>
      <c r="C151" s="67"/>
      <c r="D151" s="67"/>
      <c r="E151" s="67"/>
      <c r="F151" s="67"/>
    </row>
    <row r="152" spans="1:6" x14ac:dyDescent="0.3">
      <c r="A152" s="67" t="s">
        <v>225</v>
      </c>
      <c r="B152" s="73">
        <f>-'SF_P&amp;L'!C15-'SF_P&amp;L'!C16</f>
        <v>61</v>
      </c>
      <c r="C152" s="73">
        <f>-'SF_P&amp;L'!D15-'SF_P&amp;L'!D16</f>
        <v>370</v>
      </c>
      <c r="D152" s="67"/>
      <c r="E152" s="73">
        <f>-Adobe_PL!B17</f>
        <v>-149</v>
      </c>
      <c r="F152" s="67"/>
    </row>
    <row r="153" spans="1:6" x14ac:dyDescent="0.3">
      <c r="A153" s="67" t="s">
        <v>226</v>
      </c>
      <c r="B153" s="73">
        <f>+(B149+C149)/2</f>
        <v>-13</v>
      </c>
      <c r="C153" s="73">
        <f>+(C149+D149)/2</f>
        <v>2512</v>
      </c>
      <c r="D153" s="67"/>
      <c r="E153" s="73">
        <f>+('Ratio Workings'!E149+'Ratio Workings'!F149)/2</f>
        <v>-6639</v>
      </c>
      <c r="F153" s="67"/>
    </row>
    <row r="154" spans="1:6" x14ac:dyDescent="0.3">
      <c r="A154" s="67" t="s">
        <v>227</v>
      </c>
      <c r="B154" s="74">
        <f>+B152/B153</f>
        <v>-4.6923076923076925</v>
      </c>
      <c r="C154" s="74">
        <f>+C152/C153</f>
        <v>0.14729299363057324</v>
      </c>
      <c r="D154" s="67"/>
      <c r="E154" s="85">
        <f>+E152/E153</f>
        <v>2.2443139026961892E-2</v>
      </c>
      <c r="F154" s="67"/>
    </row>
    <row r="155" spans="1:6" x14ac:dyDescent="0.3">
      <c r="A155" s="67"/>
      <c r="B155" s="74"/>
      <c r="C155" s="74"/>
      <c r="D155" s="67"/>
      <c r="E155" s="67"/>
      <c r="F155" s="67"/>
    </row>
    <row r="156" spans="1:6" x14ac:dyDescent="0.3">
      <c r="A156" s="65" t="s">
        <v>221</v>
      </c>
      <c r="B156" s="86"/>
      <c r="C156" s="86"/>
      <c r="D156" s="67"/>
      <c r="E156" s="67"/>
      <c r="F156" s="67"/>
    </row>
    <row r="157" spans="1:6" x14ac:dyDescent="0.3">
      <c r="A157" s="67" t="s">
        <v>228</v>
      </c>
      <c r="B157" s="78">
        <f>+(B149+C149)/2</f>
        <v>-13</v>
      </c>
      <c r="C157" s="78">
        <f>+(C149+D149)/2</f>
        <v>2512</v>
      </c>
      <c r="D157" s="67"/>
      <c r="E157" s="73">
        <f>'Ratio Workings'!E153</f>
        <v>-6639</v>
      </c>
      <c r="F157" s="67"/>
    </row>
    <row r="158" spans="1:6" x14ac:dyDescent="0.3">
      <c r="A158" s="67" t="s">
        <v>229</v>
      </c>
      <c r="B158" s="78">
        <f>+(SF_BS!B35+SF_BS!C35)/2</f>
        <v>59002.5</v>
      </c>
      <c r="C158" s="78">
        <f>+(SF_BS!C35+SF_BS!D35)/2</f>
        <v>58245</v>
      </c>
      <c r="D158" s="67"/>
      <c r="E158" s="67">
        <f>'Ratio Workings'!E127</f>
        <v>15284.5</v>
      </c>
      <c r="F158" s="67"/>
    </row>
    <row r="159" spans="1:6" x14ac:dyDescent="0.3">
      <c r="A159" s="67" t="s">
        <v>221</v>
      </c>
      <c r="B159" s="86">
        <f>+B157/B158</f>
        <v>-2.2032964704885385E-4</v>
      </c>
      <c r="C159" s="86">
        <f>+C157/C158</f>
        <v>4.3128165507768906E-2</v>
      </c>
      <c r="D159" s="67"/>
      <c r="E159" s="86">
        <f>+E157/E158</f>
        <v>-0.43436160816513464</v>
      </c>
      <c r="F159" s="67"/>
    </row>
    <row r="160" spans="1:6" x14ac:dyDescent="0.3">
      <c r="A160" s="67"/>
      <c r="B160" s="67"/>
      <c r="C160" s="67"/>
      <c r="D160" s="67"/>
      <c r="E160" s="67"/>
      <c r="F160" s="67"/>
    </row>
    <row r="161" spans="1:6" x14ac:dyDescent="0.3">
      <c r="A161" s="67" t="s">
        <v>222</v>
      </c>
      <c r="B161" s="67"/>
      <c r="C161" s="67"/>
      <c r="D161" s="67"/>
      <c r="E161" s="67"/>
      <c r="F161" s="67"/>
    </row>
    <row r="162" spans="1:6" x14ac:dyDescent="0.3">
      <c r="A162" s="67" t="s">
        <v>208</v>
      </c>
      <c r="B162" s="85">
        <f>+B39</f>
        <v>7.0982802024089034E-2</v>
      </c>
      <c r="C162" s="85">
        <f>+C39</f>
        <v>5.3722204848824003E-3</v>
      </c>
      <c r="D162" s="67"/>
      <c r="E162" s="85">
        <f>+'Ratio Dumpa'!I100</f>
        <v>0.3899292703485176</v>
      </c>
      <c r="F162" s="67"/>
    </row>
    <row r="163" spans="1:6" x14ac:dyDescent="0.3">
      <c r="A163" s="82" t="s">
        <v>223</v>
      </c>
      <c r="B163" s="85">
        <f>+B154</f>
        <v>-4.6923076923076925</v>
      </c>
      <c r="C163" s="85">
        <f>+C154</f>
        <v>0.14729299363057324</v>
      </c>
      <c r="D163" s="67"/>
      <c r="E163" s="85">
        <f>+'Ratio Workings'!E154</f>
        <v>2.2443139026961892E-2</v>
      </c>
      <c r="F163" s="67"/>
    </row>
    <row r="164" spans="1:6" x14ac:dyDescent="0.3">
      <c r="A164" s="67" t="s">
        <v>222</v>
      </c>
      <c r="B164" s="70">
        <f>+B162-B163</f>
        <v>4.7632904943317813</v>
      </c>
      <c r="C164" s="70">
        <f>+C162-C163</f>
        <v>-0.14192077314569085</v>
      </c>
      <c r="D164" s="67"/>
      <c r="E164" s="70">
        <f>+E162-E163</f>
        <v>0.36748613132155572</v>
      </c>
      <c r="F164" s="67"/>
    </row>
    <row r="165" spans="1:6" x14ac:dyDescent="0.3">
      <c r="A165" s="67"/>
      <c r="B165" s="67"/>
      <c r="C165" s="67"/>
      <c r="D165" s="67"/>
      <c r="E165" s="67"/>
      <c r="F165" s="67"/>
    </row>
    <row r="166" spans="1:6" x14ac:dyDescent="0.3">
      <c r="A166" s="65" t="s">
        <v>230</v>
      </c>
      <c r="B166" s="67"/>
      <c r="C166" s="67"/>
      <c r="D166" s="67"/>
      <c r="E166" s="67"/>
      <c r="F166" s="67"/>
    </row>
    <row r="167" spans="1:6" x14ac:dyDescent="0.3">
      <c r="A167" s="67" t="s">
        <v>221</v>
      </c>
      <c r="B167" s="87">
        <f>+B159</f>
        <v>-2.2032964704885385E-4</v>
      </c>
      <c r="C167" s="87">
        <f>+C159</f>
        <v>4.3128165507768906E-2</v>
      </c>
      <c r="D167" s="67"/>
      <c r="E167" s="87">
        <f>+'Ratio Workings'!E159</f>
        <v>-0.43436160816513464</v>
      </c>
      <c r="F167" s="67"/>
    </row>
    <row r="168" spans="1:6" x14ac:dyDescent="0.3">
      <c r="A168" s="67" t="s">
        <v>222</v>
      </c>
      <c r="B168" s="81">
        <f>+B164</f>
        <v>4.7632904943317813</v>
      </c>
      <c r="C168" s="81">
        <f>+C164</f>
        <v>-0.14192077314569085</v>
      </c>
      <c r="D168" s="67"/>
      <c r="E168" s="81">
        <f>+'Ratio Workings'!E164</f>
        <v>0.36748613132155572</v>
      </c>
      <c r="F168" s="67"/>
    </row>
    <row r="169" spans="1:6" x14ac:dyDescent="0.3">
      <c r="A169" s="65" t="s">
        <v>231</v>
      </c>
      <c r="B169" s="85">
        <f>+B167*B168</f>
        <v>-1.049494113407282E-3</v>
      </c>
      <c r="C169" s="85">
        <f>+C167*C168</f>
        <v>-6.1207825932178793E-3</v>
      </c>
      <c r="D169" s="67"/>
      <c r="E169" s="85">
        <f>+E167*E168</f>
        <v>-0.15962186697921479</v>
      </c>
      <c r="F169" s="67"/>
    </row>
  </sheetData>
  <mergeCells count="4">
    <mergeCell ref="A6:A7"/>
    <mergeCell ref="B6:D6"/>
    <mergeCell ref="E6:F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C7D7-C8F6-460D-9D36-0A595523CC20}">
  <dimension ref="A1:J25"/>
  <sheetViews>
    <sheetView workbookViewId="0">
      <selection activeCell="E41" sqref="E41"/>
    </sheetView>
  </sheetViews>
  <sheetFormatPr defaultRowHeight="15.6" x14ac:dyDescent="0.3"/>
  <cols>
    <col min="1" max="1" width="22.109375" style="60" customWidth="1"/>
    <col min="2" max="10" width="10.77734375" style="60" customWidth="1"/>
    <col min="11" max="16384" width="8.88671875" style="60"/>
  </cols>
  <sheetData>
    <row r="1" spans="1:10" x14ac:dyDescent="0.3">
      <c r="A1" s="90" t="str">
        <f>+'Ratio Analysis Summary'!A1</f>
        <v>BUSI 226 : Financial Statement Analysis</v>
      </c>
    </row>
    <row r="2" spans="1:10" x14ac:dyDescent="0.3">
      <c r="A2" s="90" t="str">
        <f>+'Ratio Analysis Summary'!A2</f>
        <v>Salesforce Inc</v>
      </c>
    </row>
    <row r="3" spans="1:10" x14ac:dyDescent="0.3">
      <c r="A3" s="90" t="str">
        <f>+'Ratio Analysis Summary'!A3</f>
        <v>For Fiscal year ended January 31, 2024</v>
      </c>
    </row>
    <row r="4" spans="1:10" x14ac:dyDescent="0.3">
      <c r="A4" s="61" t="s">
        <v>425</v>
      </c>
    </row>
    <row r="6" spans="1:10" x14ac:dyDescent="0.3">
      <c r="A6" s="179" t="s">
        <v>442</v>
      </c>
      <c r="B6" s="177" t="s">
        <v>118</v>
      </c>
      <c r="C6" s="177"/>
      <c r="D6" s="177"/>
      <c r="E6" s="177"/>
      <c r="F6" s="177"/>
      <c r="G6" s="177"/>
      <c r="H6" s="177" t="s">
        <v>262</v>
      </c>
      <c r="I6" s="177"/>
      <c r="J6" s="177"/>
    </row>
    <row r="7" spans="1:10" x14ac:dyDescent="0.3">
      <c r="A7" s="179"/>
      <c r="B7" s="177">
        <v>2024</v>
      </c>
      <c r="C7" s="177"/>
      <c r="D7" s="177"/>
      <c r="E7" s="177">
        <v>2023</v>
      </c>
      <c r="F7" s="177"/>
      <c r="G7" s="177"/>
      <c r="H7" s="177">
        <v>2023</v>
      </c>
      <c r="I7" s="177"/>
      <c r="J7" s="177"/>
    </row>
    <row r="8" spans="1:10" x14ac:dyDescent="0.3">
      <c r="A8" s="88"/>
      <c r="B8" s="64" t="s">
        <v>439</v>
      </c>
      <c r="C8" s="64" t="s">
        <v>440</v>
      </c>
      <c r="D8" s="64" t="s">
        <v>441</v>
      </c>
      <c r="E8" s="64" t="s">
        <v>439</v>
      </c>
      <c r="F8" s="64" t="s">
        <v>440</v>
      </c>
      <c r="G8" s="64" t="s">
        <v>441</v>
      </c>
      <c r="H8" s="64" t="s">
        <v>439</v>
      </c>
      <c r="I8" s="64" t="s">
        <v>440</v>
      </c>
      <c r="J8" s="64" t="s">
        <v>441</v>
      </c>
    </row>
    <row r="9" spans="1:10" x14ac:dyDescent="0.3">
      <c r="A9" s="67" t="s">
        <v>119</v>
      </c>
      <c r="B9" s="73">
        <f>SF_BS!B8-SF_BS!B22</f>
        <v>2443</v>
      </c>
      <c r="C9" s="67"/>
      <c r="D9" s="67"/>
      <c r="E9" s="73">
        <f>SF_BS!C8-SF_BS!C22</f>
        <v>504</v>
      </c>
      <c r="F9" s="67"/>
      <c r="G9" s="67"/>
      <c r="H9" s="78">
        <f>Adobe_BS!B7-Adobe_BS!B22</f>
        <v>2833</v>
      </c>
      <c r="I9" s="67"/>
      <c r="J9" s="67"/>
    </row>
    <row r="10" spans="1:10" x14ac:dyDescent="0.3">
      <c r="A10" s="67" t="s">
        <v>244</v>
      </c>
      <c r="B10" s="123">
        <f>+SF_BS!B16</f>
        <v>99823</v>
      </c>
      <c r="C10" s="122">
        <f>+B9/B10</f>
        <v>2.4473317772457249E-2</v>
      </c>
      <c r="D10" s="122">
        <v>1.2</v>
      </c>
      <c r="E10" s="123">
        <f>+SF_BS!C16</f>
        <v>98849</v>
      </c>
      <c r="F10" s="122">
        <f>+E9/E10</f>
        <v>5.0986858744145108E-3</v>
      </c>
      <c r="G10" s="122">
        <v>1.2</v>
      </c>
      <c r="H10" s="124">
        <f>Adobe_BS!B14</f>
        <v>29779</v>
      </c>
      <c r="I10" s="122">
        <f>+H9/H10</f>
        <v>9.5134154941401664E-2</v>
      </c>
      <c r="J10" s="122">
        <v>1.2</v>
      </c>
    </row>
    <row r="11" spans="1:10" x14ac:dyDescent="0.3">
      <c r="A11" s="67"/>
      <c r="B11" s="121"/>
      <c r="C11" s="121"/>
      <c r="D11" s="122"/>
      <c r="E11" s="121"/>
      <c r="F11" s="121"/>
      <c r="G11" s="122"/>
      <c r="H11" s="124"/>
      <c r="I11" s="121"/>
      <c r="J11" s="122"/>
    </row>
    <row r="12" spans="1:10" x14ac:dyDescent="0.3">
      <c r="A12" s="67" t="s">
        <v>37</v>
      </c>
      <c r="B12" s="123">
        <f>+SF_BS!B34</f>
        <v>11721</v>
      </c>
      <c r="C12" s="121"/>
      <c r="D12" s="122"/>
      <c r="E12" s="123">
        <f>+SF_BS!C34</f>
        <v>7585</v>
      </c>
      <c r="F12" s="121"/>
      <c r="G12" s="122"/>
      <c r="H12" s="124">
        <f>Adobe_BS!B35</f>
        <v>33346</v>
      </c>
      <c r="I12" s="121"/>
      <c r="J12" s="122"/>
    </row>
    <row r="13" spans="1:10" x14ac:dyDescent="0.3">
      <c r="A13" s="67" t="s">
        <v>244</v>
      </c>
      <c r="B13" s="123">
        <f>+SF_BS!B16</f>
        <v>99823</v>
      </c>
      <c r="C13" s="122">
        <f>+B12/B13</f>
        <v>0.11741782955831823</v>
      </c>
      <c r="D13" s="122">
        <v>1.4</v>
      </c>
      <c r="E13" s="123">
        <f>+SF_BS!C16</f>
        <v>98849</v>
      </c>
      <c r="F13" s="122">
        <f>+E12/E13</f>
        <v>7.6733199121892984E-2</v>
      </c>
      <c r="G13" s="122">
        <v>1.4</v>
      </c>
      <c r="H13" s="124">
        <f>H10</f>
        <v>29779</v>
      </c>
      <c r="I13" s="122">
        <f>+H12/H13</f>
        <v>1.1197823969911682</v>
      </c>
      <c r="J13" s="122">
        <v>1.4</v>
      </c>
    </row>
    <row r="14" spans="1:10" x14ac:dyDescent="0.3">
      <c r="A14" s="67"/>
      <c r="B14" s="121"/>
      <c r="C14" s="121"/>
      <c r="D14" s="122"/>
      <c r="E14" s="121"/>
      <c r="F14" s="121"/>
      <c r="G14" s="122"/>
      <c r="H14" s="124"/>
      <c r="I14" s="121"/>
      <c r="J14" s="122"/>
    </row>
    <row r="15" spans="1:10" x14ac:dyDescent="0.3">
      <c r="A15" s="67" t="s">
        <v>245</v>
      </c>
      <c r="B15" s="123">
        <f>'SF_P&amp;L'!C17+254</f>
        <v>5204</v>
      </c>
      <c r="C15" s="121"/>
      <c r="D15" s="122"/>
      <c r="E15" s="123">
        <f>'SF_P&amp;L'!D17+275</f>
        <v>935</v>
      </c>
      <c r="F15" s="121"/>
      <c r="G15" s="122"/>
      <c r="H15" s="124">
        <f>'Ratio Workings'!E116</f>
        <v>6912</v>
      </c>
      <c r="I15" s="121"/>
      <c r="J15" s="122"/>
    </row>
    <row r="16" spans="1:10" x14ac:dyDescent="0.3">
      <c r="A16" s="67" t="s">
        <v>244</v>
      </c>
      <c r="B16" s="123">
        <f>+SF_BS!B16</f>
        <v>99823</v>
      </c>
      <c r="C16" s="122">
        <f>+B15/B16</f>
        <v>5.2132274125201605E-2</v>
      </c>
      <c r="D16" s="122">
        <v>3.3</v>
      </c>
      <c r="E16" s="123">
        <f>+SF_BS!C16</f>
        <v>98849</v>
      </c>
      <c r="F16" s="122">
        <f>+E15/E16</f>
        <v>9.458871612257079E-3</v>
      </c>
      <c r="G16" s="122">
        <v>3.3</v>
      </c>
      <c r="H16" s="124">
        <f>H10</f>
        <v>29779</v>
      </c>
      <c r="I16" s="122">
        <f>+H15/H16</f>
        <v>0.23210987608717554</v>
      </c>
      <c r="J16" s="122">
        <v>3.3</v>
      </c>
    </row>
    <row r="17" spans="1:10" x14ac:dyDescent="0.3">
      <c r="A17" s="67"/>
      <c r="B17" s="121"/>
      <c r="C17" s="121"/>
      <c r="D17" s="122"/>
      <c r="E17" s="121"/>
      <c r="F17" s="121"/>
      <c r="G17" s="122"/>
      <c r="H17" s="124"/>
      <c r="I17" s="121"/>
      <c r="J17" s="122"/>
    </row>
    <row r="18" spans="1:10" x14ac:dyDescent="0.3">
      <c r="A18" s="67" t="s">
        <v>246</v>
      </c>
      <c r="B18" s="124">
        <f>971*287.35</f>
        <v>279016.85000000003</v>
      </c>
      <c r="C18" s="121"/>
      <c r="D18" s="122"/>
      <c r="E18" s="124">
        <f>981*164.54</f>
        <v>161413.74</v>
      </c>
      <c r="F18" s="121"/>
      <c r="G18" s="122"/>
      <c r="H18" s="124">
        <f>455*596.6</f>
        <v>271453</v>
      </c>
      <c r="I18" s="121"/>
      <c r="J18" s="122"/>
    </row>
    <row r="19" spans="1:10" x14ac:dyDescent="0.3">
      <c r="A19" s="67" t="s">
        <v>204</v>
      </c>
      <c r="B19" s="124">
        <f>+SF_BS!B26</f>
        <v>40177</v>
      </c>
      <c r="C19" s="122">
        <f>+B18/B19</f>
        <v>6.9446909923588134</v>
      </c>
      <c r="D19" s="122">
        <v>0.6</v>
      </c>
      <c r="E19" s="124">
        <f>+SF_BS!C26</f>
        <v>40490</v>
      </c>
      <c r="F19" s="122">
        <f>+E18/E19</f>
        <v>3.9865087675969373</v>
      </c>
      <c r="G19" s="122">
        <v>0.6</v>
      </c>
      <c r="H19" s="124">
        <f>Adobe_BS!B29</f>
        <v>13261</v>
      </c>
      <c r="I19" s="122">
        <f>+H18/H19</f>
        <v>20.470024885001131</v>
      </c>
      <c r="J19" s="122">
        <v>0.6</v>
      </c>
    </row>
    <row r="20" spans="1:10" x14ac:dyDescent="0.3">
      <c r="A20" s="67"/>
      <c r="B20" s="124"/>
      <c r="C20" s="121"/>
      <c r="D20" s="122"/>
      <c r="E20" s="124"/>
      <c r="F20" s="121"/>
      <c r="G20" s="122"/>
      <c r="H20" s="124"/>
      <c r="I20" s="121"/>
      <c r="J20" s="122"/>
    </row>
    <row r="21" spans="1:10" x14ac:dyDescent="0.3">
      <c r="A21" s="67" t="s">
        <v>111</v>
      </c>
      <c r="B21" s="124">
        <f>+'SF_P&amp;L'!C4</f>
        <v>34857</v>
      </c>
      <c r="C21" s="121"/>
      <c r="D21" s="122"/>
      <c r="E21" s="124">
        <f>+'SF_P&amp;L'!D4</f>
        <v>31352</v>
      </c>
      <c r="F21" s="121"/>
      <c r="G21" s="122"/>
      <c r="H21" s="124">
        <f>Adobe_PL!B3</f>
        <v>19409</v>
      </c>
      <c r="I21" s="121"/>
      <c r="J21" s="122"/>
    </row>
    <row r="22" spans="1:10" x14ac:dyDescent="0.3">
      <c r="A22" s="67" t="s">
        <v>244</v>
      </c>
      <c r="B22" s="124">
        <f>+SF_BS!B16</f>
        <v>99823</v>
      </c>
      <c r="C22" s="122">
        <f>+B21/B22</f>
        <v>0.34918806287128218</v>
      </c>
      <c r="D22" s="122">
        <v>0.99</v>
      </c>
      <c r="E22" s="124">
        <f>+SF_BS!C16</f>
        <v>98849</v>
      </c>
      <c r="F22" s="122">
        <f>+E21/E22</f>
        <v>0.31717063399730905</v>
      </c>
      <c r="G22" s="122">
        <v>0.99</v>
      </c>
      <c r="H22" s="124">
        <f>H16</f>
        <v>29779</v>
      </c>
      <c r="I22" s="122">
        <f>+H21/H22</f>
        <v>0.65176802444675774</v>
      </c>
      <c r="J22" s="122">
        <v>0.99</v>
      </c>
    </row>
    <row r="23" spans="1:10" x14ac:dyDescent="0.3">
      <c r="A23" s="65" t="s">
        <v>242</v>
      </c>
      <c r="B23" s="121"/>
      <c r="C23" s="121"/>
      <c r="D23" s="125">
        <f>+C10*D10+C13*D13+C16*D16+C19*D19+C22*D22</f>
        <v>4.8783002249796175</v>
      </c>
      <c r="E23" s="121"/>
      <c r="F23" s="121"/>
      <c r="G23" s="125">
        <f>+F10*G10+F13*G13+F16*G16+F19*G19+F22*G22</f>
        <v>2.850663366355894</v>
      </c>
      <c r="H23" s="121"/>
      <c r="I23" s="121"/>
      <c r="J23" s="125">
        <f>+I10*J10+I13*J13+I16*J16+I19*J19+I22*J22</f>
        <v>15.375084208007964</v>
      </c>
    </row>
    <row r="25" spans="1:10" x14ac:dyDescent="0.3">
      <c r="A25" s="60" t="s">
        <v>243</v>
      </c>
    </row>
  </sheetData>
  <mergeCells count="6">
    <mergeCell ref="B7:D7"/>
    <mergeCell ref="E7:G7"/>
    <mergeCell ref="A6:A7"/>
    <mergeCell ref="B6:G6"/>
    <mergeCell ref="H6:J6"/>
    <mergeCell ref="H7:J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73AC-64A7-4766-B11C-FF2514A8C1B0}">
  <dimension ref="A1:J184"/>
  <sheetViews>
    <sheetView topLeftCell="A163" zoomScale="95" workbookViewId="0">
      <selection activeCell="I178" sqref="I178"/>
    </sheetView>
  </sheetViews>
  <sheetFormatPr defaultColWidth="8.88671875" defaultRowHeight="14.4" x14ac:dyDescent="0.3"/>
  <cols>
    <col min="1" max="1" width="42.88671875" style="5" bestFit="1" customWidth="1"/>
    <col min="2" max="3" width="11.5546875" style="5" bestFit="1" customWidth="1"/>
    <col min="4" max="4" width="7.109375" style="5" customWidth="1"/>
    <col min="5" max="5" width="25.5546875" style="5" customWidth="1"/>
    <col min="6" max="8" width="8.88671875" style="5" customWidth="1"/>
    <col min="9" max="9" width="12.33203125" style="5" bestFit="1" customWidth="1"/>
    <col min="10" max="16384" width="8.88671875" style="5"/>
  </cols>
  <sheetData>
    <row r="1" spans="1:9" x14ac:dyDescent="0.3">
      <c r="B1" s="6" t="s">
        <v>118</v>
      </c>
      <c r="C1" s="6" t="s">
        <v>118</v>
      </c>
      <c r="E1" s="5" t="s">
        <v>164</v>
      </c>
      <c r="I1" s="5" t="s">
        <v>262</v>
      </c>
    </row>
    <row r="2" spans="1:9" x14ac:dyDescent="0.3">
      <c r="A2" s="7" t="s">
        <v>152</v>
      </c>
      <c r="B2" s="6">
        <v>2024</v>
      </c>
      <c r="C2" s="6">
        <v>2023</v>
      </c>
      <c r="D2" s="6">
        <v>2022</v>
      </c>
      <c r="I2" s="7">
        <v>2023</v>
      </c>
    </row>
    <row r="3" spans="1:9" x14ac:dyDescent="0.3">
      <c r="A3" s="5" t="s">
        <v>107</v>
      </c>
      <c r="B3" s="8">
        <f>#REF!</f>
        <v>4136</v>
      </c>
      <c r="C3" s="8">
        <f>#REF!</f>
        <v>208</v>
      </c>
      <c r="E3" s="5" t="s">
        <v>165</v>
      </c>
    </row>
    <row r="4" spans="1:9" x14ac:dyDescent="0.3">
      <c r="A4" s="5" t="s">
        <v>108</v>
      </c>
      <c r="B4" s="8">
        <f>(#REF!+#REF!)/2</f>
        <v>99336</v>
      </c>
      <c r="C4" s="8">
        <f>(#REF!+#REF!)/2</f>
        <v>97029</v>
      </c>
      <c r="E4" s="5" t="s">
        <v>151</v>
      </c>
    </row>
    <row r="5" spans="1:9" x14ac:dyDescent="0.3">
      <c r="A5" s="5" t="s">
        <v>109</v>
      </c>
      <c r="B5" s="9">
        <f>B3/B4</f>
        <v>4.1636466135137315E-2</v>
      </c>
      <c r="C5" s="9">
        <f>C3/C4</f>
        <v>2.1436890001958176E-3</v>
      </c>
      <c r="E5" s="5" t="s">
        <v>166</v>
      </c>
    </row>
    <row r="7" spans="1:9" x14ac:dyDescent="0.3">
      <c r="A7" s="7" t="s">
        <v>162</v>
      </c>
      <c r="E7" s="5" t="s">
        <v>179</v>
      </c>
    </row>
    <row r="8" spans="1:9" x14ac:dyDescent="0.3">
      <c r="A8" s="5" t="s">
        <v>107</v>
      </c>
      <c r="B8" s="8">
        <f>#REF!</f>
        <v>4136</v>
      </c>
      <c r="C8" s="8">
        <f>#REF!</f>
        <v>208</v>
      </c>
    </row>
    <row r="9" spans="1:9" x14ac:dyDescent="0.3">
      <c r="A9" s="5" t="s">
        <v>111</v>
      </c>
      <c r="B9" s="8">
        <f>+#REF!</f>
        <v>34857</v>
      </c>
      <c r="C9" s="8">
        <f>+#REF!</f>
        <v>31352</v>
      </c>
    </row>
    <row r="10" spans="1:9" x14ac:dyDescent="0.3">
      <c r="A10" s="5" t="s">
        <v>110</v>
      </c>
      <c r="B10" s="10">
        <f>B8/B9</f>
        <v>0.11865622400091803</v>
      </c>
      <c r="C10" s="10">
        <f>C8/C9</f>
        <v>6.6343454963000764E-3</v>
      </c>
    </row>
    <row r="12" spans="1:9" x14ac:dyDescent="0.3">
      <c r="A12" s="7" t="s">
        <v>163</v>
      </c>
    </row>
    <row r="13" spans="1:9" x14ac:dyDescent="0.3">
      <c r="A13" s="5" t="s">
        <v>111</v>
      </c>
      <c r="B13" s="8">
        <f>+#REF!</f>
        <v>34857</v>
      </c>
      <c r="C13" s="8">
        <f>+#REF!</f>
        <v>31352</v>
      </c>
    </row>
    <row r="14" spans="1:9" x14ac:dyDescent="0.3">
      <c r="A14" s="5" t="s">
        <v>108</v>
      </c>
      <c r="B14" s="8">
        <f>B4</f>
        <v>99336</v>
      </c>
      <c r="C14" s="8">
        <f>C4</f>
        <v>97029</v>
      </c>
    </row>
    <row r="15" spans="1:9" x14ac:dyDescent="0.3">
      <c r="A15" s="5" t="s">
        <v>112</v>
      </c>
      <c r="B15" s="11">
        <f>B13/B14</f>
        <v>0.35089997583957477</v>
      </c>
      <c r="C15" s="11">
        <f>C13/C14</f>
        <v>0.32311989199105423</v>
      </c>
    </row>
    <row r="17" spans="1:9" x14ac:dyDescent="0.3">
      <c r="A17" s="5" t="s">
        <v>113</v>
      </c>
      <c r="B17" s="9">
        <f>B10*B15</f>
        <v>4.1636466135137308E-2</v>
      </c>
      <c r="C17" s="9">
        <f>C10*C15</f>
        <v>2.1436890001958176E-3</v>
      </c>
      <c r="I17" s="57">
        <f>'Ratio Workings'!E12*'Ratio Workings'!E45</f>
        <v>0.19064343916830567</v>
      </c>
    </row>
    <row r="19" spans="1:9" x14ac:dyDescent="0.3">
      <c r="A19" s="7" t="s">
        <v>114</v>
      </c>
    </row>
    <row r="20" spans="1:9" x14ac:dyDescent="0.3">
      <c r="A20" s="5" t="s">
        <v>107</v>
      </c>
      <c r="B20" s="8">
        <f>B3</f>
        <v>4136</v>
      </c>
      <c r="C20" s="8">
        <f>C3</f>
        <v>208</v>
      </c>
    </row>
    <row r="21" spans="1:9" x14ac:dyDescent="0.3">
      <c r="A21" s="5" t="s">
        <v>149</v>
      </c>
      <c r="B21" s="12">
        <f>(#REF!+#REF!)/2</f>
        <v>59002.5</v>
      </c>
      <c r="C21" s="12">
        <f>(#REF!+#REF!)/2</f>
        <v>58245</v>
      </c>
    </row>
    <row r="22" spans="1:9" x14ac:dyDescent="0.3">
      <c r="A22" s="5" t="s">
        <v>115</v>
      </c>
      <c r="B22" s="13">
        <f>B20/B21</f>
        <v>7.0098724630312276E-2</v>
      </c>
      <c r="C22" s="13">
        <f>C20/C21</f>
        <v>3.5711219847197185E-3</v>
      </c>
    </row>
    <row r="23" spans="1:9" x14ac:dyDescent="0.3">
      <c r="A23" s="14" t="s">
        <v>116</v>
      </c>
      <c r="B23" s="15">
        <f>((#REF!-#REF!)+(#REF!-#REF!))/2</f>
        <v>66848.5</v>
      </c>
      <c r="C23" s="15">
        <f>((#REF!-#REF!)+(#REF!-#REF!))/2</f>
        <v>60245</v>
      </c>
    </row>
    <row r="24" spans="1:9" x14ac:dyDescent="0.3">
      <c r="A24" s="14" t="s">
        <v>117</v>
      </c>
      <c r="B24" s="13">
        <f>+B20/B23</f>
        <v>6.1871246176054807E-2</v>
      </c>
      <c r="C24" s="13">
        <f>+C20/C23</f>
        <v>3.4525686778985806E-3</v>
      </c>
    </row>
    <row r="26" spans="1:9" x14ac:dyDescent="0.3">
      <c r="A26" s="16" t="s">
        <v>150</v>
      </c>
    </row>
    <row r="27" spans="1:9" x14ac:dyDescent="0.3">
      <c r="A27" s="16" t="s">
        <v>151</v>
      </c>
    </row>
    <row r="29" spans="1:9" x14ac:dyDescent="0.3">
      <c r="A29" s="7" t="s">
        <v>152</v>
      </c>
    </row>
    <row r="30" spans="1:9" x14ac:dyDescent="0.3">
      <c r="A30" s="5" t="s">
        <v>107</v>
      </c>
      <c r="B30" s="12">
        <f>#REF!</f>
        <v>4136</v>
      </c>
      <c r="C30" s="12">
        <f>#REF!</f>
        <v>208</v>
      </c>
      <c r="I30" s="5">
        <f>'Ratio Workings'!E25</f>
        <v>5428</v>
      </c>
    </row>
    <row r="31" spans="1:9" x14ac:dyDescent="0.3">
      <c r="A31" s="5" t="s">
        <v>153</v>
      </c>
      <c r="B31" s="12">
        <f>(#REF!+#REF!)/2</f>
        <v>99336</v>
      </c>
      <c r="C31" s="12">
        <f>(#REF!+#REF!)/2</f>
        <v>97029</v>
      </c>
      <c r="I31" s="5">
        <f>'Ratio Workings'!E44</f>
        <v>28472</v>
      </c>
    </row>
    <row r="32" spans="1:9" x14ac:dyDescent="0.3">
      <c r="A32" s="5" t="s">
        <v>109</v>
      </c>
      <c r="B32" s="13">
        <f>B30/B31</f>
        <v>4.1636466135137315E-2</v>
      </c>
      <c r="C32" s="13">
        <f>C30/C31</f>
        <v>2.1436890001958176E-3</v>
      </c>
      <c r="I32" s="23">
        <f>I30/I31</f>
        <v>0.1906434391683057</v>
      </c>
    </row>
    <row r="33" spans="1:3" x14ac:dyDescent="0.3">
      <c r="B33" s="13"/>
      <c r="C33" s="13"/>
    </row>
    <row r="34" spans="1:3" x14ac:dyDescent="0.3">
      <c r="A34" s="7" t="s">
        <v>155</v>
      </c>
    </row>
    <row r="35" spans="1:3" x14ac:dyDescent="0.3">
      <c r="A35" s="5" t="s">
        <v>156</v>
      </c>
      <c r="B35" s="12">
        <f>(#REF!+#REF!)/2</f>
        <v>99336</v>
      </c>
      <c r="C35" s="12">
        <f>(#REF!+#REF!)/2</f>
        <v>97029</v>
      </c>
    </row>
    <row r="36" spans="1:3" x14ac:dyDescent="0.3">
      <c r="A36" s="5" t="s">
        <v>149</v>
      </c>
      <c r="B36" s="12">
        <f>+(#REF!+#REF!)/2</f>
        <v>59002.5</v>
      </c>
      <c r="C36" s="12">
        <f>+(#REF!+#REF!)/2</f>
        <v>58245</v>
      </c>
    </row>
    <row r="37" spans="1:3" x14ac:dyDescent="0.3">
      <c r="A37" s="5" t="s">
        <v>157</v>
      </c>
      <c r="B37" s="17">
        <f>+B35/B36</f>
        <v>1.6835896784034574</v>
      </c>
      <c r="C37" s="17">
        <f>+C35/C36</f>
        <v>1.6658768993046613</v>
      </c>
    </row>
    <row r="38" spans="1:3" x14ac:dyDescent="0.3">
      <c r="B38" s="12"/>
      <c r="C38" s="12"/>
    </row>
    <row r="39" spans="1:3" x14ac:dyDescent="0.3">
      <c r="A39" s="7" t="s">
        <v>160</v>
      </c>
      <c r="B39" s="12"/>
      <c r="C39" s="12"/>
    </row>
    <row r="40" spans="1:3" x14ac:dyDescent="0.3">
      <c r="A40" s="5" t="s">
        <v>158</v>
      </c>
      <c r="B40" s="12">
        <f>#REF!</f>
        <v>4136</v>
      </c>
      <c r="C40" s="12">
        <f>#REF!</f>
        <v>208</v>
      </c>
    </row>
    <row r="41" spans="1:3" x14ac:dyDescent="0.3">
      <c r="A41" s="5" t="s">
        <v>159</v>
      </c>
      <c r="B41" s="12">
        <f>(#REF!+#REF!)/2</f>
        <v>59002.5</v>
      </c>
      <c r="C41" s="12">
        <f>(#REF!+#REF!)/2</f>
        <v>58245</v>
      </c>
    </row>
    <row r="42" spans="1:3" x14ac:dyDescent="0.3">
      <c r="A42" s="5" t="s">
        <v>161</v>
      </c>
      <c r="B42" s="13">
        <f>B40/B41</f>
        <v>7.0098724630312276E-2</v>
      </c>
      <c r="C42" s="13">
        <f>C40/C41</f>
        <v>3.5711219847197185E-3</v>
      </c>
    </row>
    <row r="44" spans="1:3" x14ac:dyDescent="0.3">
      <c r="A44" s="7" t="s">
        <v>180</v>
      </c>
      <c r="B44" s="13"/>
      <c r="C44" s="13"/>
    </row>
    <row r="45" spans="1:3" x14ac:dyDescent="0.3">
      <c r="A45" s="5" t="s">
        <v>181</v>
      </c>
      <c r="B45" s="12">
        <f>+#REF!</f>
        <v>26316</v>
      </c>
      <c r="C45" s="12">
        <f>+#REF!</f>
        <v>22992</v>
      </c>
    </row>
    <row r="46" spans="1:3" x14ac:dyDescent="0.3">
      <c r="A46" s="5" t="s">
        <v>111</v>
      </c>
      <c r="B46" s="12">
        <f>+#REF!</f>
        <v>34857</v>
      </c>
      <c r="C46" s="12">
        <f>+#REF!</f>
        <v>31352</v>
      </c>
    </row>
    <row r="47" spans="1:3" x14ac:dyDescent="0.3">
      <c r="A47" s="5" t="s">
        <v>182</v>
      </c>
      <c r="B47" s="13">
        <f>+B45/B46</f>
        <v>0.75497030725535763</v>
      </c>
      <c r="C47" s="13">
        <f>+C45/C46</f>
        <v>0.73335034447563152</v>
      </c>
    </row>
    <row r="49" spans="1:3" x14ac:dyDescent="0.3">
      <c r="A49" s="7" t="s">
        <v>184</v>
      </c>
    </row>
    <row r="50" spans="1:3" x14ac:dyDescent="0.3">
      <c r="A50" s="5" t="s">
        <v>183</v>
      </c>
      <c r="B50" s="15">
        <f>+#REF!</f>
        <v>21305</v>
      </c>
      <c r="C50" s="15">
        <f>+#REF!</f>
        <v>21962</v>
      </c>
    </row>
    <row r="51" spans="1:3" x14ac:dyDescent="0.3">
      <c r="A51" s="5" t="s">
        <v>111</v>
      </c>
      <c r="B51" s="12">
        <f>+#REF!</f>
        <v>34857</v>
      </c>
      <c r="C51" s="12">
        <f>+#REF!</f>
        <v>31352</v>
      </c>
    </row>
    <row r="52" spans="1:3" x14ac:dyDescent="0.3">
      <c r="A52" s="5" t="s">
        <v>185</v>
      </c>
      <c r="B52" s="13">
        <f>+B50/B51</f>
        <v>0.61121152135869405</v>
      </c>
      <c r="C52" s="13">
        <f>+C50/C51</f>
        <v>0.7004975759122225</v>
      </c>
    </row>
    <row r="54" spans="1:3" x14ac:dyDescent="0.3">
      <c r="A54" s="7" t="s">
        <v>171</v>
      </c>
    </row>
    <row r="55" spans="1:3" x14ac:dyDescent="0.3">
      <c r="A55" s="7" t="s">
        <v>195</v>
      </c>
    </row>
    <row r="56" spans="1:3" x14ac:dyDescent="0.3">
      <c r="A56" s="5" t="s">
        <v>111</v>
      </c>
      <c r="B56" s="12">
        <f>+#REF!</f>
        <v>34857</v>
      </c>
      <c r="C56" s="12">
        <f>+#REF!</f>
        <v>31352</v>
      </c>
    </row>
    <row r="57" spans="1:3" x14ac:dyDescent="0.3">
      <c r="A57" s="5" t="s">
        <v>186</v>
      </c>
      <c r="B57" s="12">
        <f>+(#REF!+#REF!)/2</f>
        <v>11084.5</v>
      </c>
      <c r="C57" s="12">
        <f>+(#REF!+#REF!)/2</f>
        <v>10247</v>
      </c>
    </row>
    <row r="58" spans="1:3" x14ac:dyDescent="0.3">
      <c r="A58" s="5" t="s">
        <v>187</v>
      </c>
      <c r="B58" s="18">
        <f>+B56/B57</f>
        <v>3.1446614642067754</v>
      </c>
      <c r="C58" s="18">
        <f>+C56/C57</f>
        <v>3.0596272079633065</v>
      </c>
    </row>
    <row r="60" spans="1:3" x14ac:dyDescent="0.3">
      <c r="A60" s="7" t="s">
        <v>188</v>
      </c>
    </row>
    <row r="61" spans="1:3" x14ac:dyDescent="0.3">
      <c r="A61" s="19">
        <v>365</v>
      </c>
      <c r="B61" s="5">
        <v>365</v>
      </c>
      <c r="C61" s="5">
        <v>365</v>
      </c>
    </row>
    <row r="62" spans="1:3" x14ac:dyDescent="0.3">
      <c r="A62" s="5" t="s">
        <v>198</v>
      </c>
      <c r="B62" s="18">
        <f>+B58</f>
        <v>3.1446614642067754</v>
      </c>
      <c r="C62" s="18">
        <f>+C58</f>
        <v>3.0596272079633065</v>
      </c>
    </row>
    <row r="63" spans="1:3" x14ac:dyDescent="0.3">
      <c r="A63" s="5" t="s">
        <v>189</v>
      </c>
      <c r="B63" s="18">
        <f>+B61/B62</f>
        <v>116.06972774478584</v>
      </c>
      <c r="C63" s="18">
        <f>+C61/C62</f>
        <v>119.29557922939524</v>
      </c>
    </row>
    <row r="65" spans="1:3" x14ac:dyDescent="0.3">
      <c r="A65" s="7" t="s">
        <v>196</v>
      </c>
    </row>
    <row r="66" spans="1:3" x14ac:dyDescent="0.3">
      <c r="A66" s="19" t="s">
        <v>190</v>
      </c>
      <c r="B66" s="15">
        <f>+#REF!</f>
        <v>8541</v>
      </c>
      <c r="C66" s="15">
        <f>+#REF!</f>
        <v>8360</v>
      </c>
    </row>
    <row r="67" spans="1:3" x14ac:dyDescent="0.3">
      <c r="A67" s="5" t="s">
        <v>192</v>
      </c>
      <c r="B67" s="12">
        <f>+(#REF!+#REF!)/2</f>
        <v>6427</v>
      </c>
      <c r="C67" s="12">
        <f>+(#REF!+#REF!)/2</f>
        <v>6108.5</v>
      </c>
    </row>
    <row r="68" spans="1:3" x14ac:dyDescent="0.3">
      <c r="A68" s="5" t="s">
        <v>191</v>
      </c>
      <c r="B68" s="18">
        <f>+B66/B67</f>
        <v>1.3289248482962501</v>
      </c>
      <c r="C68" s="18">
        <f>+C66/C67</f>
        <v>1.3685847589424571</v>
      </c>
    </row>
    <row r="70" spans="1:3" x14ac:dyDescent="0.3">
      <c r="A70" s="7" t="s">
        <v>193</v>
      </c>
    </row>
    <row r="71" spans="1:3" x14ac:dyDescent="0.3">
      <c r="A71" s="19">
        <v>365</v>
      </c>
      <c r="B71" s="5">
        <v>365</v>
      </c>
      <c r="C71" s="5">
        <v>365</v>
      </c>
    </row>
    <row r="72" spans="1:3" x14ac:dyDescent="0.3">
      <c r="A72" s="5" t="s">
        <v>197</v>
      </c>
      <c r="B72" s="18">
        <f>+B68</f>
        <v>1.3289248482962501</v>
      </c>
      <c r="C72" s="18">
        <f>+C68</f>
        <v>1.3685847589424571</v>
      </c>
    </row>
    <row r="73" spans="1:3" x14ac:dyDescent="0.3">
      <c r="A73" s="5" t="s">
        <v>194</v>
      </c>
      <c r="B73" s="18">
        <f>+B71/B72</f>
        <v>274.65811965811969</v>
      </c>
      <c r="C73" s="18">
        <f>+C71/C72</f>
        <v>266.69886363636368</v>
      </c>
    </row>
    <row r="75" spans="1:3" x14ac:dyDescent="0.3">
      <c r="A75" s="7" t="s">
        <v>199</v>
      </c>
    </row>
    <row r="76" spans="1:3" x14ac:dyDescent="0.3">
      <c r="A76" s="5" t="s">
        <v>189</v>
      </c>
    </row>
    <row r="77" spans="1:3" x14ac:dyDescent="0.3">
      <c r="A77" s="20" t="s">
        <v>200</v>
      </c>
    </row>
    <row r="78" spans="1:3" x14ac:dyDescent="0.3">
      <c r="A78" s="20" t="s">
        <v>201</v>
      </c>
    </row>
    <row r="79" spans="1:3" x14ac:dyDescent="0.3">
      <c r="A79" s="20" t="s">
        <v>374</v>
      </c>
    </row>
    <row r="81" spans="1:9" x14ac:dyDescent="0.3">
      <c r="A81" s="5" t="s">
        <v>176</v>
      </c>
    </row>
    <row r="82" spans="1:9" x14ac:dyDescent="0.3">
      <c r="A82" s="5" t="s">
        <v>111</v>
      </c>
    </row>
    <row r="83" spans="1:9" x14ac:dyDescent="0.3">
      <c r="A83" s="5" t="s">
        <v>202</v>
      </c>
    </row>
    <row r="84" spans="1:9" x14ac:dyDescent="0.3">
      <c r="A84" s="5" t="s">
        <v>176</v>
      </c>
    </row>
    <row r="86" spans="1:9" x14ac:dyDescent="0.3">
      <c r="A86" s="5" t="s">
        <v>203</v>
      </c>
    </row>
    <row r="87" spans="1:9" x14ac:dyDescent="0.3">
      <c r="A87" s="5" t="s">
        <v>177</v>
      </c>
    </row>
    <row r="88" spans="1:9" x14ac:dyDescent="0.3">
      <c r="A88" s="5" t="s">
        <v>204</v>
      </c>
      <c r="B88" s="15">
        <f>+#REF!</f>
        <v>40177</v>
      </c>
      <c r="C88" s="15">
        <f>+#REF!</f>
        <v>40490</v>
      </c>
      <c r="I88" s="15">
        <f>Adobe_BS!B29</f>
        <v>13261</v>
      </c>
    </row>
    <row r="89" spans="1:9" x14ac:dyDescent="0.3">
      <c r="A89" s="5" t="s">
        <v>205</v>
      </c>
      <c r="B89" s="15">
        <f>+#REF!</f>
        <v>59646</v>
      </c>
      <c r="C89" s="15">
        <f>+#REF!</f>
        <v>58359</v>
      </c>
      <c r="I89" s="15">
        <f>Adobe_BS!B38</f>
        <v>16518</v>
      </c>
    </row>
    <row r="90" spans="1:9" x14ac:dyDescent="0.3">
      <c r="A90" s="5" t="s">
        <v>177</v>
      </c>
      <c r="B90" s="17">
        <f>+B88/B89</f>
        <v>0.67359085269758245</v>
      </c>
      <c r="C90" s="17">
        <f>+C88/C89</f>
        <v>0.69380900974999571</v>
      </c>
      <c r="I90" s="17">
        <f>I88/I89</f>
        <v>0.80282116478992616</v>
      </c>
    </row>
    <row r="92" spans="1:9" x14ac:dyDescent="0.3">
      <c r="A92" s="5" t="s">
        <v>178</v>
      </c>
    </row>
    <row r="93" spans="1:9" x14ac:dyDescent="0.3">
      <c r="A93" s="5" t="s">
        <v>206</v>
      </c>
      <c r="B93" s="15">
        <f>+#REF!+254</f>
        <v>5204</v>
      </c>
      <c r="C93" s="15">
        <f>+#REF!+275</f>
        <v>935</v>
      </c>
    </row>
    <row r="94" spans="1:9" x14ac:dyDescent="0.3">
      <c r="A94" s="5" t="s">
        <v>207</v>
      </c>
      <c r="B94" s="5">
        <v>254</v>
      </c>
      <c r="C94" s="5">
        <v>275</v>
      </c>
    </row>
    <row r="95" spans="1:9" x14ac:dyDescent="0.3">
      <c r="A95" s="5" t="s">
        <v>178</v>
      </c>
      <c r="B95" s="17">
        <f>+B93/B94</f>
        <v>20.488188976377952</v>
      </c>
      <c r="C95" s="17">
        <f>+C93/C94</f>
        <v>3.4</v>
      </c>
      <c r="D95" s="17"/>
      <c r="E95" s="17"/>
      <c r="F95" s="17"/>
      <c r="G95" s="17"/>
      <c r="H95" s="17"/>
    </row>
    <row r="97" spans="1:9" x14ac:dyDescent="0.3">
      <c r="A97" s="7" t="s">
        <v>209</v>
      </c>
    </row>
    <row r="98" spans="1:9" x14ac:dyDescent="0.3">
      <c r="A98" s="5" t="s">
        <v>210</v>
      </c>
      <c r="B98" s="15">
        <f>+#REF!*(1-0.16)</f>
        <v>4209.24</v>
      </c>
      <c r="C98" s="15">
        <f>+#REF!*(1-0.68)</f>
        <v>329.59999999999997</v>
      </c>
      <c r="I98" s="58">
        <f>Adobe_PL!B12*(1-0.2)</f>
        <v>5320</v>
      </c>
    </row>
    <row r="99" spans="1:9" x14ac:dyDescent="0.3">
      <c r="A99" s="5" t="s">
        <v>211</v>
      </c>
      <c r="B99" s="12">
        <f>(((#REF!-#REF!-#REF!)-(#REF!-#REF!-#REF!-#REF!-#REF!))+((#REF!-#REF!-#REF!)-(#REF!-#REF!-#REF!-#REF!-#REF!)))/2</f>
        <v>58989.5</v>
      </c>
      <c r="C99" s="12">
        <f>(((#REF!-#REF!-#REF!)-(#REF!-#REF!-#REF!-#REF!-#REF!))+((#REF!-#REF!-#REF!)-(#REF!-#REF!-#REF!-#REF!-#REF!)))/2</f>
        <v>60757</v>
      </c>
      <c r="D99" s="12">
        <f>(((#REF!-#REF!-#REF!)-(#REF!-#REF!-#REF!-#REF!-#REF!))+((#REF!-#REF!-#REF!)-(#REF!-#REF!-#REF!-#REF!-#REF!)))/2</f>
        <v>30787.5</v>
      </c>
      <c r="E99" s="12">
        <f>(((#REF!-#REF!-#REF!)-(#REF!-#REF!-#REF!-#REF!-#REF!))+((#REF!-#REF!-#REF!)-(#REF!-#REF!-#REF!-#REF!-#REF!)))/2</f>
        <v>0</v>
      </c>
      <c r="F99" s="12">
        <f>(((#REF!-#REF!-#REF!)-(#REF!-#REF!-#REF!-#REF!-#REF!))+((#REF!-#REF!-#REF!)-(#REF!-#REF!-#REF!-#REF!-#REF!)))/2</f>
        <v>0</v>
      </c>
      <c r="G99" s="12">
        <f>(((#REF!-#REF!-#REF!)-(#REF!-#REF!-#REF!-#REF!-#REF!))+((#REF!-#REF!-#REF!)-(#REF!-#REF!-#REF!-#REF!-#REF!)))/2</f>
        <v>0</v>
      </c>
      <c r="H99" s="12">
        <f>(((#REF!-#REF!-#REF!)-(#REF!-#REF!-#REF!-#REF!-#REF!))+((#REF!-#REF!-#REF!)-(#REF!-#REF!-#REF!-#REF!-#REF!)))/2</f>
        <v>0</v>
      </c>
      <c r="I99" s="12">
        <f>(((Adobe_BS!B14-Adobe_BS!B3-Adobe_BS!B4)-(Adobe_BS!B22-Adobe_BS!B18-Adobe_BS!B21))+((Adobe_BS!C14-Adobe_BS!C3-Adobe_BS!C4)-(Adobe_BS!C22-Adobe_BS!C18-Adobe_BS!C21)))/2</f>
        <v>13643.5</v>
      </c>
    </row>
    <row r="100" spans="1:9" x14ac:dyDescent="0.3">
      <c r="A100" s="30" t="s">
        <v>208</v>
      </c>
      <c r="B100" s="29">
        <f>+B98/B99</f>
        <v>7.1355749752074524E-2</v>
      </c>
      <c r="C100" s="29">
        <f>+C98/C99</f>
        <v>5.4248893131655608E-3</v>
      </c>
      <c r="I100" s="29">
        <f>+I98/I99</f>
        <v>0.3899292703485176</v>
      </c>
    </row>
    <row r="102" spans="1:9" x14ac:dyDescent="0.3">
      <c r="A102" s="7" t="s">
        <v>212</v>
      </c>
    </row>
    <row r="103" spans="1:9" x14ac:dyDescent="0.3">
      <c r="A103" s="5" t="s">
        <v>111</v>
      </c>
      <c r="B103" s="12">
        <f>+#REF!</f>
        <v>34857</v>
      </c>
      <c r="C103" s="12">
        <f>+#REF!</f>
        <v>31352</v>
      </c>
      <c r="I103" s="5">
        <f>Adobe_PL!B3</f>
        <v>19409</v>
      </c>
    </row>
    <row r="104" spans="1:9" x14ac:dyDescent="0.3">
      <c r="A104" s="5" t="s">
        <v>211</v>
      </c>
      <c r="B104" s="12">
        <f>+B99</f>
        <v>58989.5</v>
      </c>
      <c r="C104" s="12">
        <f>+C99</f>
        <v>60757</v>
      </c>
      <c r="I104" s="59">
        <f>I99</f>
        <v>13643.5</v>
      </c>
    </row>
    <row r="105" spans="1:9" x14ac:dyDescent="0.3">
      <c r="A105" s="5" t="s">
        <v>213</v>
      </c>
      <c r="B105" s="18">
        <f>+B103/B104</f>
        <v>0.59090177065409943</v>
      </c>
      <c r="C105" s="18">
        <f>+C103/C104</f>
        <v>0.51602284510426777</v>
      </c>
      <c r="I105" s="18">
        <f>+I103/I104</f>
        <v>1.4225821819914244</v>
      </c>
    </row>
    <row r="107" spans="1:9" x14ac:dyDescent="0.3">
      <c r="A107" s="7" t="s">
        <v>214</v>
      </c>
    </row>
    <row r="108" spans="1:9" x14ac:dyDescent="0.3">
      <c r="A108" s="5" t="s">
        <v>215</v>
      </c>
      <c r="B108" s="12">
        <f>+#REF!*(1-0.16)</f>
        <v>4209.24</v>
      </c>
      <c r="C108" s="12">
        <f>+#REF!*(1-0.68)</f>
        <v>329.59999999999997</v>
      </c>
      <c r="I108" s="15">
        <f>I98</f>
        <v>5320</v>
      </c>
    </row>
    <row r="109" spans="1:9" x14ac:dyDescent="0.3">
      <c r="A109" s="5" t="s">
        <v>111</v>
      </c>
      <c r="B109" s="12">
        <f>+#REF!</f>
        <v>34857</v>
      </c>
      <c r="C109" s="12">
        <f>+#REF!</f>
        <v>31352</v>
      </c>
      <c r="I109" s="5">
        <f>I103</f>
        <v>19409</v>
      </c>
    </row>
    <row r="110" spans="1:9" x14ac:dyDescent="0.3">
      <c r="A110" s="5" t="s">
        <v>216</v>
      </c>
      <c r="B110" s="13">
        <f>+B108/B109</f>
        <v>0.12075738015319734</v>
      </c>
      <c r="C110" s="13">
        <f>+C108/C109</f>
        <v>1.051288594029089E-2</v>
      </c>
      <c r="I110" s="13">
        <f>+I108/I109</f>
        <v>0.27409964449482199</v>
      </c>
    </row>
    <row r="111" spans="1:9" x14ac:dyDescent="0.3">
      <c r="B111" s="13"/>
      <c r="C111" s="13"/>
    </row>
    <row r="112" spans="1:9" x14ac:dyDescent="0.25">
      <c r="A112" s="28" t="s">
        <v>250</v>
      </c>
      <c r="B112" s="29">
        <f>+B105*B110</f>
        <v>7.135574975207451E-2</v>
      </c>
      <c r="C112" s="29">
        <f>+C105*C110</f>
        <v>5.4248893131655599E-3</v>
      </c>
      <c r="I112" s="29">
        <f>+I105*I110</f>
        <v>0.3899292703485176</v>
      </c>
    </row>
    <row r="114" spans="1:10" x14ac:dyDescent="0.3">
      <c r="A114" s="7" t="s">
        <v>219</v>
      </c>
    </row>
    <row r="115" spans="1:10" x14ac:dyDescent="0.3">
      <c r="A115" s="5" t="s">
        <v>217</v>
      </c>
      <c r="B115" s="15">
        <f>+#REF!+#REF!+#REF!+#REF!</f>
        <v>12588</v>
      </c>
      <c r="C115" s="15">
        <f>+#REF!+#REF!+#REF!+#REF!</f>
        <v>14088</v>
      </c>
      <c r="D115" s="15">
        <f>+#REF!+#REF!+#REF!+#REF!</f>
        <v>13981</v>
      </c>
    </row>
    <row r="116" spans="1:10" x14ac:dyDescent="0.3">
      <c r="A116" s="5" t="s">
        <v>218</v>
      </c>
      <c r="B116" s="15">
        <f>+#REF!+#REF!</f>
        <v>14194</v>
      </c>
      <c r="C116" s="15">
        <f>+#REF!+#REF!</f>
        <v>12508</v>
      </c>
      <c r="D116" s="15">
        <f>+#REF!+#REF!</f>
        <v>10537</v>
      </c>
    </row>
    <row r="117" spans="1:10" x14ac:dyDescent="0.3">
      <c r="A117" s="5" t="s">
        <v>220</v>
      </c>
      <c r="B117" s="15">
        <f>+B115-B116</f>
        <v>-1606</v>
      </c>
      <c r="C117" s="15">
        <f>+C115-C116</f>
        <v>1580</v>
      </c>
      <c r="D117" s="15">
        <f>+D115-D116</f>
        <v>3444</v>
      </c>
    </row>
    <row r="119" spans="1:10" x14ac:dyDescent="0.3">
      <c r="A119" s="7" t="s">
        <v>224</v>
      </c>
    </row>
    <row r="120" spans="1:10" x14ac:dyDescent="0.3">
      <c r="A120" s="5" t="s">
        <v>225</v>
      </c>
      <c r="B120" s="15">
        <f>-#REF!-#REF!</f>
        <v>61</v>
      </c>
      <c r="C120" s="15">
        <f>-#REF!-#REF!</f>
        <v>370</v>
      </c>
      <c r="J120" s="15"/>
    </row>
    <row r="121" spans="1:10" x14ac:dyDescent="0.3">
      <c r="A121" s="5" t="s">
        <v>226</v>
      </c>
      <c r="B121" s="15">
        <f>+(B117+C117)/2</f>
        <v>-13</v>
      </c>
      <c r="C121" s="15">
        <f>+(C117+D117)/2</f>
        <v>2512</v>
      </c>
      <c r="J121" s="15"/>
    </row>
    <row r="122" spans="1:10" x14ac:dyDescent="0.3">
      <c r="A122" s="5" t="s">
        <v>227</v>
      </c>
      <c r="B122" s="21">
        <f>+B120/B121</f>
        <v>-4.6923076923076925</v>
      </c>
      <c r="C122" s="21">
        <f>+C120/C121</f>
        <v>0.14729299363057324</v>
      </c>
    </row>
    <row r="123" spans="1:10" x14ac:dyDescent="0.3">
      <c r="B123" s="21"/>
      <c r="C123" s="21"/>
    </row>
    <row r="124" spans="1:10" x14ac:dyDescent="0.3">
      <c r="A124" s="7" t="s">
        <v>221</v>
      </c>
      <c r="B124" s="22"/>
      <c r="C124" s="22"/>
    </row>
    <row r="125" spans="1:10" x14ac:dyDescent="0.3">
      <c r="A125" s="5" t="s">
        <v>228</v>
      </c>
      <c r="B125" s="12">
        <f>+(B117+C117)/2</f>
        <v>-13</v>
      </c>
      <c r="C125" s="12">
        <f>+(C117+D117)/2</f>
        <v>2512</v>
      </c>
    </row>
    <row r="126" spans="1:10" x14ac:dyDescent="0.3">
      <c r="A126" s="5" t="s">
        <v>229</v>
      </c>
      <c r="B126" s="12">
        <f>+(#REF!+#REF!)/2</f>
        <v>59002.5</v>
      </c>
      <c r="C126" s="12">
        <f>+(#REF!+#REF!)/2</f>
        <v>58245</v>
      </c>
    </row>
    <row r="127" spans="1:10" x14ac:dyDescent="0.3">
      <c r="A127" s="5" t="s">
        <v>221</v>
      </c>
      <c r="B127" s="22">
        <f>+B125/B126</f>
        <v>-2.2032964704885385E-4</v>
      </c>
      <c r="C127" s="22">
        <f>+C125/C126</f>
        <v>4.3128165507768906E-2</v>
      </c>
    </row>
    <row r="129" spans="1:8" x14ac:dyDescent="0.3">
      <c r="A129" s="5" t="s">
        <v>222</v>
      </c>
    </row>
    <row r="130" spans="1:8" x14ac:dyDescent="0.3">
      <c r="A130" s="5" t="s">
        <v>208</v>
      </c>
      <c r="B130" s="13">
        <f>+B100</f>
        <v>7.1355749752074524E-2</v>
      </c>
      <c r="C130" s="13">
        <f>+C100</f>
        <v>5.4248893131655608E-3</v>
      </c>
    </row>
    <row r="131" spans="1:8" x14ac:dyDescent="0.3">
      <c r="A131" s="20" t="s">
        <v>223</v>
      </c>
      <c r="B131" s="13">
        <f>+B122</f>
        <v>-4.6923076923076925</v>
      </c>
      <c r="C131" s="13">
        <f>+C122</f>
        <v>0.14729299363057324</v>
      </c>
    </row>
    <row r="132" spans="1:8" x14ac:dyDescent="0.3">
      <c r="A132" s="5" t="s">
        <v>222</v>
      </c>
      <c r="B132" s="23">
        <f>+B130-B131</f>
        <v>4.7636634420597668</v>
      </c>
      <c r="C132" s="23">
        <f>+C130-C131</f>
        <v>-0.14186810431740768</v>
      </c>
    </row>
    <row r="134" spans="1:8" x14ac:dyDescent="0.3">
      <c r="A134" s="7" t="s">
        <v>230</v>
      </c>
    </row>
    <row r="135" spans="1:8" x14ac:dyDescent="0.3">
      <c r="A135" s="5" t="s">
        <v>221</v>
      </c>
      <c r="B135" s="24">
        <f>+B127</f>
        <v>-2.2032964704885385E-4</v>
      </c>
      <c r="C135" s="24">
        <f>+C127</f>
        <v>4.3128165507768906E-2</v>
      </c>
    </row>
    <row r="136" spans="1:8" x14ac:dyDescent="0.3">
      <c r="A136" s="5" t="s">
        <v>222</v>
      </c>
      <c r="B136" s="17">
        <f>+B132</f>
        <v>4.7636634420597668</v>
      </c>
      <c r="C136" s="17">
        <f>+C132</f>
        <v>-0.14186810431740768</v>
      </c>
    </row>
    <row r="137" spans="1:8" x14ac:dyDescent="0.3">
      <c r="A137" s="7" t="s">
        <v>231</v>
      </c>
      <c r="B137" s="13">
        <f>+B135*B136</f>
        <v>-1.0495762848485566E-3</v>
      </c>
      <c r="C137" s="13">
        <f>+C135*C136</f>
        <v>-6.1185110832745826E-3</v>
      </c>
    </row>
    <row r="139" spans="1:8" x14ac:dyDescent="0.3">
      <c r="A139" s="7" t="s">
        <v>233</v>
      </c>
    </row>
    <row r="140" spans="1:8" x14ac:dyDescent="0.3">
      <c r="A140" s="5" t="s">
        <v>232</v>
      </c>
      <c r="B140" s="15">
        <f>+#REF!</f>
        <v>10234</v>
      </c>
      <c r="C140" s="15">
        <f>+#REF!</f>
        <v>7111</v>
      </c>
    </row>
    <row r="141" spans="1:8" x14ac:dyDescent="0.3">
      <c r="A141" s="5" t="s">
        <v>234</v>
      </c>
      <c r="B141" s="15">
        <f>+(#REF!+#REF!+#REF!+#REF!)</f>
        <v>12588</v>
      </c>
      <c r="C141" s="15">
        <f>+(#REF!+#REF!+#REF!+#REF!)</f>
        <v>14088</v>
      </c>
    </row>
    <row r="142" spans="1:8" x14ac:dyDescent="0.3">
      <c r="A142" s="5" t="s">
        <v>233</v>
      </c>
      <c r="B142" s="17">
        <f>+B140/B141</f>
        <v>0.81299650460756279</v>
      </c>
      <c r="C142" s="17">
        <f>+C140/C141</f>
        <v>0.50475582055650203</v>
      </c>
      <c r="D142" s="17"/>
      <c r="E142" s="17"/>
      <c r="F142" s="17"/>
      <c r="G142" s="17"/>
      <c r="H142" s="17"/>
    </row>
    <row r="144" spans="1:8" x14ac:dyDescent="0.3">
      <c r="A144" s="5" t="s">
        <v>235</v>
      </c>
    </row>
    <row r="145" spans="1:9" x14ac:dyDescent="0.3">
      <c r="A145" s="5" t="s">
        <v>236</v>
      </c>
      <c r="B145" s="15">
        <f>+#REF!+#REF!</f>
        <v>9498</v>
      </c>
      <c r="C145" s="15">
        <f>+#REF!+#REF!</f>
        <v>6313</v>
      </c>
    </row>
    <row r="146" spans="1:9" x14ac:dyDescent="0.3">
      <c r="A146" s="5" t="s">
        <v>234</v>
      </c>
      <c r="B146" s="15">
        <f>+#REF!+#REF!+#REF!+#REF!</f>
        <v>12588</v>
      </c>
      <c r="C146" s="15">
        <f>+#REF!+#REF!+#REF!+#REF!</f>
        <v>14088</v>
      </c>
    </row>
    <row r="147" spans="1:9" x14ac:dyDescent="0.3">
      <c r="A147" s="5" t="s">
        <v>235</v>
      </c>
      <c r="B147" s="17">
        <f>+B145/B146</f>
        <v>0.7545281220209723</v>
      </c>
      <c r="C147" s="17">
        <f>+C145/C146</f>
        <v>0.44811186825667232</v>
      </c>
    </row>
    <row r="149" spans="1:9" x14ac:dyDescent="0.3">
      <c r="A149" s="7" t="s">
        <v>237</v>
      </c>
    </row>
    <row r="150" spans="1:9" x14ac:dyDescent="0.3">
      <c r="A150" s="5" t="s">
        <v>238</v>
      </c>
      <c r="B150" s="15">
        <f>+#REF!+#REF!+#REF!</f>
        <v>25608</v>
      </c>
      <c r="C150" s="15">
        <f>+#REF!+#REF!+#REF!</f>
        <v>23263</v>
      </c>
    </row>
    <row r="151" spans="1:9" x14ac:dyDescent="0.3">
      <c r="A151" s="5" t="s">
        <v>239</v>
      </c>
      <c r="B151" s="15">
        <f>+#REF!</f>
        <v>26631</v>
      </c>
      <c r="C151" s="15">
        <f>+#REF!</f>
        <v>25891</v>
      </c>
    </row>
    <row r="152" spans="1:9" x14ac:dyDescent="0.3">
      <c r="A152" s="5" t="s">
        <v>237</v>
      </c>
      <c r="B152" s="17">
        <f>+B150/B151</f>
        <v>0.9615861214374225</v>
      </c>
      <c r="C152" s="17">
        <f>+C150/C151</f>
        <v>0.89849754741029697</v>
      </c>
    </row>
    <row r="154" spans="1:9" x14ac:dyDescent="0.3">
      <c r="A154" s="7" t="s">
        <v>240</v>
      </c>
    </row>
    <row r="155" spans="1:9" x14ac:dyDescent="0.3">
      <c r="A155" s="5" t="s">
        <v>241</v>
      </c>
      <c r="B155" s="15">
        <f>+#REF!+#REF!+#REF!+#REF!</f>
        <v>12588</v>
      </c>
      <c r="C155" s="15">
        <f>+#REF!+#REF!+#REF!+#REF!</f>
        <v>14088</v>
      </c>
    </row>
    <row r="156" spans="1:9" x14ac:dyDescent="0.3">
      <c r="A156" s="5" t="s">
        <v>205</v>
      </c>
      <c r="B156" s="15">
        <f>+#REF!</f>
        <v>59646</v>
      </c>
      <c r="C156" s="15">
        <f>+#REF!</f>
        <v>58359</v>
      </c>
    </row>
    <row r="157" spans="1:9" x14ac:dyDescent="0.3">
      <c r="A157" s="5" t="s">
        <v>240</v>
      </c>
      <c r="B157" s="17">
        <f>+B155/B156</f>
        <v>0.21104516648224525</v>
      </c>
      <c r="C157" s="17">
        <f>+C155/C156</f>
        <v>0.24140235439263866</v>
      </c>
    </row>
    <row r="159" spans="1:9" ht="16.8" x14ac:dyDescent="0.4">
      <c r="A159" s="5" t="s">
        <v>242</v>
      </c>
      <c r="B159" s="25" t="s">
        <v>243</v>
      </c>
    </row>
    <row r="160" spans="1:9" ht="16.8" x14ac:dyDescent="0.4">
      <c r="A160" s="26" t="s">
        <v>247</v>
      </c>
      <c r="B160" s="173">
        <v>2024</v>
      </c>
      <c r="C160" s="173"/>
      <c r="D160" s="173"/>
      <c r="E160" s="173">
        <v>2024</v>
      </c>
      <c r="F160" s="173"/>
      <c r="G160" s="173"/>
      <c r="I160" s="5">
        <v>2023</v>
      </c>
    </row>
    <row r="161" spans="1:7" x14ac:dyDescent="0.3">
      <c r="A161" s="5" t="s">
        <v>119</v>
      </c>
      <c r="B161" s="15">
        <f>#REF!-#REF!</f>
        <v>2443</v>
      </c>
      <c r="E161" s="15">
        <f>#REF!-#REF!</f>
        <v>504</v>
      </c>
    </row>
    <row r="162" spans="1:7" x14ac:dyDescent="0.3">
      <c r="A162" s="5" t="s">
        <v>244</v>
      </c>
      <c r="B162" s="15">
        <f>+#REF!</f>
        <v>99823</v>
      </c>
      <c r="C162" s="17">
        <f>+B161/B162</f>
        <v>2.4473317772457249E-2</v>
      </c>
      <c r="D162" s="5">
        <v>1.2</v>
      </c>
      <c r="E162" s="15">
        <f>+#REF!</f>
        <v>98849</v>
      </c>
      <c r="F162" s="17">
        <f>+E161/E162</f>
        <v>5.0986858744145108E-3</v>
      </c>
      <c r="G162" s="5">
        <v>1.2</v>
      </c>
    </row>
    <row r="164" spans="1:7" x14ac:dyDescent="0.3">
      <c r="A164" s="5" t="s">
        <v>37</v>
      </c>
      <c r="B164" s="15">
        <f>+#REF!</f>
        <v>11721</v>
      </c>
      <c r="E164" s="15">
        <f>+#REF!</f>
        <v>7585</v>
      </c>
    </row>
    <row r="165" spans="1:7" x14ac:dyDescent="0.3">
      <c r="A165" s="5" t="s">
        <v>244</v>
      </c>
      <c r="B165" s="15">
        <f>+#REF!</f>
        <v>99823</v>
      </c>
      <c r="C165" s="17">
        <f>+B164/B165</f>
        <v>0.11741782955831823</v>
      </c>
      <c r="D165" s="5">
        <v>1.4</v>
      </c>
      <c r="E165" s="15">
        <f>+#REF!</f>
        <v>98849</v>
      </c>
      <c r="F165" s="17">
        <f>+E164/E165</f>
        <v>7.6733199121892984E-2</v>
      </c>
      <c r="G165" s="5">
        <v>1.4</v>
      </c>
    </row>
    <row r="167" spans="1:7" x14ac:dyDescent="0.3">
      <c r="A167" s="5" t="s">
        <v>245</v>
      </c>
      <c r="B167" s="15">
        <f>#REF!+254</f>
        <v>5204</v>
      </c>
      <c r="E167" s="15">
        <f>#REF!+275</f>
        <v>935</v>
      </c>
    </row>
    <row r="168" spans="1:7" x14ac:dyDescent="0.3">
      <c r="A168" s="5" t="s">
        <v>244</v>
      </c>
      <c r="B168" s="15">
        <f>+#REF!</f>
        <v>99823</v>
      </c>
      <c r="C168" s="17">
        <f>+B167/B168</f>
        <v>5.2132274125201605E-2</v>
      </c>
      <c r="D168" s="5">
        <v>3.3</v>
      </c>
      <c r="E168" s="15">
        <f>+#REF!</f>
        <v>98849</v>
      </c>
      <c r="F168" s="17">
        <f>+E167/E168</f>
        <v>9.458871612257079E-3</v>
      </c>
      <c r="G168" s="5">
        <v>3.3</v>
      </c>
    </row>
    <row r="170" spans="1:7" x14ac:dyDescent="0.3">
      <c r="A170" s="5" t="s">
        <v>246</v>
      </c>
      <c r="B170" s="12">
        <f>971*287.35</f>
        <v>279016.85000000003</v>
      </c>
      <c r="E170" s="12">
        <f>981*164.54</f>
        <v>161413.74</v>
      </c>
    </row>
    <row r="171" spans="1:7" x14ac:dyDescent="0.3">
      <c r="A171" s="5" t="s">
        <v>204</v>
      </c>
      <c r="B171" s="12">
        <f>+#REF!</f>
        <v>40177</v>
      </c>
      <c r="C171" s="17">
        <f>+B170/B171</f>
        <v>6.9446909923588134</v>
      </c>
      <c r="D171" s="5">
        <v>0.6</v>
      </c>
      <c r="E171" s="12">
        <f>+#REF!</f>
        <v>40490</v>
      </c>
      <c r="F171" s="17">
        <f>+E170/E171</f>
        <v>3.9865087675969373</v>
      </c>
      <c r="G171" s="5">
        <v>0.6</v>
      </c>
    </row>
    <row r="172" spans="1:7" x14ac:dyDescent="0.3">
      <c r="B172" s="12"/>
      <c r="E172" s="12"/>
    </row>
    <row r="173" spans="1:7" x14ac:dyDescent="0.3">
      <c r="A173" s="5" t="s">
        <v>111</v>
      </c>
      <c r="B173" s="12">
        <f>+#REF!</f>
        <v>34857</v>
      </c>
      <c r="E173" s="12">
        <f>+#REF!</f>
        <v>31352</v>
      </c>
    </row>
    <row r="174" spans="1:7" x14ac:dyDescent="0.3">
      <c r="A174" s="5" t="s">
        <v>244</v>
      </c>
      <c r="B174" s="12">
        <f>+#REF!</f>
        <v>99823</v>
      </c>
      <c r="C174" s="17">
        <f>+B173/B174</f>
        <v>0.34918806287128218</v>
      </c>
      <c r="D174" s="5">
        <v>0.99</v>
      </c>
      <c r="E174" s="12">
        <f>+#REF!</f>
        <v>98849</v>
      </c>
      <c r="F174" s="17">
        <f>+E173/E174</f>
        <v>0.31717063399730905</v>
      </c>
      <c r="G174" s="5">
        <v>0.99</v>
      </c>
    </row>
    <row r="175" spans="1:7" x14ac:dyDescent="0.3">
      <c r="A175" s="7" t="s">
        <v>248</v>
      </c>
      <c r="D175" s="27">
        <f>+C162*D162+C165*D165+C168*D168+C171*D171+C174*D174</f>
        <v>4.8783002249796175</v>
      </c>
      <c r="G175" s="27">
        <f>+F162*G162+F165*G165+F168*G168+F171*G171+F174*G174</f>
        <v>2.850663366355894</v>
      </c>
    </row>
    <row r="177" spans="1:10" x14ac:dyDescent="0.3">
      <c r="A177" t="s">
        <v>120</v>
      </c>
      <c r="B177">
        <v>971</v>
      </c>
      <c r="C177" s="5">
        <v>981</v>
      </c>
      <c r="I177" s="5">
        <f>455</f>
        <v>455</v>
      </c>
    </row>
    <row r="178" spans="1:10" x14ac:dyDescent="0.3">
      <c r="A178" s="5" t="s">
        <v>249</v>
      </c>
      <c r="B178">
        <v>287.35000000000002</v>
      </c>
      <c r="C178" s="5">
        <v>164.54</v>
      </c>
      <c r="I178" s="5">
        <f>596.6</f>
        <v>596.6</v>
      </c>
      <c r="J178" s="5" t="s">
        <v>375</v>
      </c>
    </row>
    <row r="179" spans="1:10" x14ac:dyDescent="0.3">
      <c r="A179" t="s">
        <v>121</v>
      </c>
      <c r="B179" s="4">
        <f>+B177*B178</f>
        <v>279016.85000000003</v>
      </c>
      <c r="C179" s="4">
        <f>+C177*C178</f>
        <v>161413.74</v>
      </c>
      <c r="I179" s="4">
        <f>+I177*I178</f>
        <v>271453</v>
      </c>
    </row>
    <row r="180" spans="1:10" x14ac:dyDescent="0.3">
      <c r="A180" t="s">
        <v>122</v>
      </c>
      <c r="B180" s="3">
        <f>+#REF!</f>
        <v>59646</v>
      </c>
      <c r="C180" s="3">
        <f>+#REF!</f>
        <v>58359</v>
      </c>
      <c r="I180" s="15">
        <f>Adobe_BS!B38</f>
        <v>16518</v>
      </c>
    </row>
    <row r="181" spans="1:10" x14ac:dyDescent="0.3">
      <c r="A181" s="1" t="s">
        <v>123</v>
      </c>
      <c r="B181" s="2">
        <f>+B179/B180</f>
        <v>4.6778803272641927</v>
      </c>
      <c r="C181" s="2">
        <f>+C179/C180</f>
        <v>2.7658757004061068</v>
      </c>
      <c r="I181" s="2">
        <f>+I179/I180</f>
        <v>16.433769221455382</v>
      </c>
    </row>
    <row r="182" spans="1:10" x14ac:dyDescent="0.3">
      <c r="A182"/>
      <c r="B182"/>
    </row>
    <row r="183" spans="1:10" x14ac:dyDescent="0.3">
      <c r="A183" t="s">
        <v>124</v>
      </c>
      <c r="B183" s="3">
        <f>+#REF!-#REF!</f>
        <v>71338</v>
      </c>
      <c r="C183" s="3">
        <f>+#REF!-#REF!</f>
        <v>62359</v>
      </c>
      <c r="I183" s="15">
        <f>Adobe_BS!B38-Adobe_BS!B37</f>
        <v>44647</v>
      </c>
    </row>
    <row r="184" spans="1:10" x14ac:dyDescent="0.3">
      <c r="A184" t="s">
        <v>125</v>
      </c>
      <c r="B184" s="2">
        <f>+B179/B183</f>
        <v>3.9111952956348657</v>
      </c>
      <c r="C184" s="2">
        <f>+C179/C183</f>
        <v>2.5884594044163634</v>
      </c>
      <c r="I184" s="2">
        <f>+I179/I183</f>
        <v>6.0799829775796805</v>
      </c>
    </row>
  </sheetData>
  <mergeCells count="2">
    <mergeCell ref="B160:D160"/>
    <mergeCell ref="E160:G1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79AC-52B2-4822-B3A3-67D0F596D16A}">
  <dimension ref="A1:P68"/>
  <sheetViews>
    <sheetView zoomScale="83" workbookViewId="0">
      <selection activeCell="E41" sqref="E41"/>
    </sheetView>
  </sheetViews>
  <sheetFormatPr defaultColWidth="12.44140625" defaultRowHeight="15.6" x14ac:dyDescent="0.3"/>
  <cols>
    <col min="1" max="1" width="29.5546875" style="104" bestFit="1" customWidth="1"/>
    <col min="2" max="2" width="12.77734375" style="104" bestFit="1" customWidth="1"/>
    <col min="3" max="4" width="10.77734375" style="104" customWidth="1"/>
    <col min="5" max="5" width="13.33203125" style="104" bestFit="1" customWidth="1"/>
    <col min="6" max="11" width="10.77734375" style="104" customWidth="1"/>
    <col min="12" max="12" width="28.77734375" style="104" bestFit="1" customWidth="1"/>
    <col min="13" max="13" width="8" style="104" bestFit="1" customWidth="1"/>
    <col min="14" max="14" width="17.6640625" style="104" bestFit="1" customWidth="1"/>
    <col min="15" max="15" width="20.33203125" style="104" bestFit="1" customWidth="1"/>
    <col min="16" max="16" width="14.6640625" style="104" bestFit="1" customWidth="1"/>
    <col min="17" max="17" width="18.88671875" style="104" customWidth="1"/>
    <col min="18" max="18" width="17.5546875" style="104" customWidth="1"/>
    <col min="19" max="16384" width="12.44140625" style="104"/>
  </cols>
  <sheetData>
    <row r="1" spans="1:16" x14ac:dyDescent="0.3">
      <c r="A1" s="103" t="str">
        <f>+'Ratio Analysis Summary'!A1</f>
        <v>BUSI 226 : Financial Statement Analysis</v>
      </c>
    </row>
    <row r="2" spans="1:16" x14ac:dyDescent="0.3">
      <c r="A2" s="103" t="str">
        <f>+'Ratio Analysis Summary'!A2</f>
        <v>Salesforce Inc</v>
      </c>
    </row>
    <row r="3" spans="1:16" x14ac:dyDescent="0.3">
      <c r="A3" s="103" t="str">
        <f>+'Ratio Analysis Summary'!A3</f>
        <v>For Fiscal year ended January 31, 2024</v>
      </c>
    </row>
    <row r="4" spans="1:16" x14ac:dyDescent="0.3">
      <c r="A4" s="103" t="s">
        <v>430</v>
      </c>
    </row>
    <row r="6" spans="1:16" x14ac:dyDescent="0.3">
      <c r="A6" s="105" t="s">
        <v>380</v>
      </c>
      <c r="B6" s="126">
        <v>2024</v>
      </c>
      <c r="C6" s="126" t="s">
        <v>424</v>
      </c>
      <c r="D6" s="126">
        <v>2023</v>
      </c>
      <c r="E6" s="126" t="s">
        <v>424</v>
      </c>
      <c r="F6" s="126">
        <v>2022</v>
      </c>
      <c r="G6" s="126" t="s">
        <v>424</v>
      </c>
      <c r="H6" s="126">
        <v>2021</v>
      </c>
      <c r="I6" s="126" t="s">
        <v>424</v>
      </c>
      <c r="J6" s="126">
        <v>2020</v>
      </c>
      <c r="K6" s="127"/>
      <c r="L6" s="106"/>
      <c r="M6" s="107"/>
      <c r="N6" s="108" t="s">
        <v>423</v>
      </c>
      <c r="O6" s="108" t="s">
        <v>422</v>
      </c>
      <c r="P6" s="109"/>
    </row>
    <row r="7" spans="1:16" x14ac:dyDescent="0.3">
      <c r="A7" s="128" t="s">
        <v>413</v>
      </c>
      <c r="B7" s="71">
        <v>34857</v>
      </c>
      <c r="C7" s="72">
        <f>(B7-D7)/D7</f>
        <v>0.11179510079101812</v>
      </c>
      <c r="D7" s="71">
        <v>31352</v>
      </c>
      <c r="E7" s="72">
        <f>(D7-F7)/F7</f>
        <v>0.18345160803261362</v>
      </c>
      <c r="F7" s="71">
        <v>26492</v>
      </c>
      <c r="G7" s="72">
        <f>(F7-H7)/H7</f>
        <v>0.24656502917372483</v>
      </c>
      <c r="H7" s="71">
        <v>21252</v>
      </c>
      <c r="I7" s="72">
        <f>(H7-J7)/J7</f>
        <v>0.24295239209264241</v>
      </c>
      <c r="J7" s="71">
        <v>17098</v>
      </c>
      <c r="K7" s="129"/>
      <c r="L7" s="110"/>
      <c r="M7" s="107" t="s">
        <v>414</v>
      </c>
      <c r="N7" s="85">
        <f>(I7+G7+E7+C7)/4</f>
        <v>0.19619103252249975</v>
      </c>
      <c r="O7" s="85">
        <f>((B7-J7)/J7)/4</f>
        <v>0.25966487308457131</v>
      </c>
      <c r="P7" s="109"/>
    </row>
    <row r="8" spans="1:16" hidden="1" x14ac:dyDescent="0.3">
      <c r="A8" s="128"/>
      <c r="B8" s="71"/>
      <c r="C8" s="72"/>
      <c r="D8" s="129"/>
      <c r="E8" s="72"/>
      <c r="F8" s="129"/>
      <c r="G8" s="72"/>
      <c r="H8" s="129"/>
      <c r="I8" s="72"/>
      <c r="J8" s="129"/>
      <c r="K8" s="129"/>
      <c r="M8" s="107"/>
      <c r="N8" s="111" t="s">
        <v>421</v>
      </c>
      <c r="O8" s="111"/>
      <c r="P8" s="111"/>
    </row>
    <row r="9" spans="1:16" x14ac:dyDescent="0.3">
      <c r="A9" s="128"/>
      <c r="B9" s="71"/>
      <c r="C9" s="130" t="s">
        <v>420</v>
      </c>
      <c r="D9" s="131"/>
      <c r="E9" s="130" t="s">
        <v>420</v>
      </c>
      <c r="F9" s="131"/>
      <c r="G9" s="130" t="s">
        <v>420</v>
      </c>
      <c r="H9" s="131"/>
      <c r="I9" s="130" t="s">
        <v>420</v>
      </c>
      <c r="J9" s="131"/>
      <c r="K9" s="131" t="s">
        <v>420</v>
      </c>
      <c r="L9" s="110"/>
      <c r="M9" s="107"/>
      <c r="N9" s="111" t="s">
        <v>419</v>
      </c>
      <c r="O9" s="111" t="s">
        <v>418</v>
      </c>
      <c r="P9" s="111" t="s">
        <v>417</v>
      </c>
    </row>
    <row r="10" spans="1:16" x14ac:dyDescent="0.3">
      <c r="A10" s="128" t="s">
        <v>190</v>
      </c>
      <c r="B10" s="71">
        <v>8541</v>
      </c>
      <c r="C10" s="72">
        <f>B10/$B$7</f>
        <v>0.2450296927446424</v>
      </c>
      <c r="D10" s="71">
        <v>8360</v>
      </c>
      <c r="E10" s="72">
        <f>D10/$D$7</f>
        <v>0.26664965552436848</v>
      </c>
      <c r="F10" s="71">
        <v>7026</v>
      </c>
      <c r="G10" s="72">
        <f>F10/$F$7</f>
        <v>0.2652121395138155</v>
      </c>
      <c r="H10" s="71">
        <v>5438</v>
      </c>
      <c r="I10" s="72">
        <f>H10/$H$7</f>
        <v>0.25588179936006022</v>
      </c>
      <c r="J10" s="71">
        <v>4235</v>
      </c>
      <c r="K10" s="72">
        <f>J10/$J$7</f>
        <v>0.24768978827933091</v>
      </c>
      <c r="L10" s="110"/>
      <c r="M10" s="107" t="s">
        <v>414</v>
      </c>
      <c r="N10" s="85">
        <f>AVERAGE(C10,E10,G10,I10,K10)</f>
        <v>0.25609261508444348</v>
      </c>
      <c r="O10" s="85">
        <f>(C10-K10)/5</f>
        <v>-5.3201910693770338E-4</v>
      </c>
      <c r="P10" s="85">
        <f>AVERAGE(I10,E10,C10)</f>
        <v>0.25585371587635702</v>
      </c>
    </row>
    <row r="11" spans="1:16" hidden="1" x14ac:dyDescent="0.3">
      <c r="A11" s="128"/>
      <c r="B11" s="71"/>
      <c r="C11" s="72"/>
      <c r="D11" s="71"/>
      <c r="E11" s="72"/>
      <c r="F11" s="71"/>
      <c r="G11" s="72"/>
      <c r="H11" s="71"/>
      <c r="I11" s="72"/>
      <c r="J11" s="71"/>
      <c r="K11" s="72"/>
      <c r="L11" s="110"/>
      <c r="M11" s="107"/>
      <c r="N11" s="85"/>
      <c r="O11" s="85"/>
      <c r="P11" s="85"/>
    </row>
    <row r="12" spans="1:16" x14ac:dyDescent="0.3">
      <c r="A12" s="128" t="s">
        <v>408</v>
      </c>
      <c r="B12" s="71">
        <v>26316</v>
      </c>
      <c r="C12" s="72">
        <f>B12/$B$7</f>
        <v>0.75497030725535763</v>
      </c>
      <c r="D12" s="71">
        <v>22992</v>
      </c>
      <c r="E12" s="72">
        <f>D12/$D$7</f>
        <v>0.73335034447563152</v>
      </c>
      <c r="F12" s="71">
        <v>19466</v>
      </c>
      <c r="G12" s="72">
        <f>F12/$F$7</f>
        <v>0.7347878604861845</v>
      </c>
      <c r="H12" s="71">
        <v>15814</v>
      </c>
      <c r="I12" s="72">
        <f>H12/$H$7</f>
        <v>0.74411820063993972</v>
      </c>
      <c r="J12" s="71">
        <v>12863</v>
      </c>
      <c r="K12" s="72">
        <f>J12/$J$7</f>
        <v>0.75231021172066903</v>
      </c>
      <c r="L12" s="110"/>
      <c r="M12" s="107" t="s">
        <v>414</v>
      </c>
      <c r="N12" s="85">
        <f>AVERAGE(C12,E12,G12,I12,K12)</f>
        <v>0.74390738491555641</v>
      </c>
      <c r="O12" s="85">
        <f>(C12-K12)/5</f>
        <v>5.3201910693772008E-4</v>
      </c>
      <c r="P12" s="85">
        <f>AVERAGE(I12,E12,C12)</f>
        <v>0.74414628412364303</v>
      </c>
    </row>
    <row r="13" spans="1:16" hidden="1" x14ac:dyDescent="0.3">
      <c r="A13" s="128"/>
      <c r="B13" s="71"/>
      <c r="C13" s="72"/>
      <c r="D13" s="71"/>
      <c r="E13" s="72"/>
      <c r="F13" s="71"/>
      <c r="G13" s="72"/>
      <c r="H13" s="71"/>
      <c r="I13" s="72"/>
      <c r="J13" s="71"/>
      <c r="K13" s="72"/>
      <c r="L13" s="110"/>
      <c r="M13" s="107"/>
      <c r="N13" s="85"/>
      <c r="O13" s="85"/>
      <c r="P13" s="85"/>
    </row>
    <row r="14" spans="1:16" x14ac:dyDescent="0.3">
      <c r="A14" s="128" t="s">
        <v>407</v>
      </c>
      <c r="B14" s="71">
        <v>21305</v>
      </c>
      <c r="C14" s="72">
        <f>B14/$B$7</f>
        <v>0.61121152135869405</v>
      </c>
      <c r="D14" s="71">
        <v>21962</v>
      </c>
      <c r="E14" s="72">
        <f>D14/$D$7</f>
        <v>0.7004975759122225</v>
      </c>
      <c r="F14" s="71">
        <v>18918</v>
      </c>
      <c r="G14" s="72">
        <f>F14/$F$7</f>
        <v>0.71410237052695158</v>
      </c>
      <c r="H14" s="71">
        <v>15359</v>
      </c>
      <c r="I14" s="72">
        <f>H14/$H$7</f>
        <v>0.72270845096932057</v>
      </c>
      <c r="J14" s="71">
        <v>12566</v>
      </c>
      <c r="K14" s="72">
        <f>J14/$J$7</f>
        <v>0.73493975903614461</v>
      </c>
      <c r="L14" s="110"/>
      <c r="M14" s="107" t="s">
        <v>414</v>
      </c>
      <c r="N14" s="85">
        <f>AVERAGE(C14,E14,G14,I14,K14)</f>
        <v>0.69669193556066666</v>
      </c>
      <c r="O14" s="85">
        <f>(C14-K14)/5</f>
        <v>-2.4745647535490113E-2</v>
      </c>
      <c r="P14" s="85">
        <f>AVERAGE(I14,E14,C14)</f>
        <v>0.67813918274674567</v>
      </c>
    </row>
    <row r="15" spans="1:16" hidden="1" x14ac:dyDescent="0.3">
      <c r="A15" s="128"/>
      <c r="B15" s="71"/>
      <c r="C15" s="72"/>
      <c r="D15" s="71"/>
      <c r="E15" s="72"/>
      <c r="F15" s="71"/>
      <c r="G15" s="72"/>
      <c r="H15" s="71"/>
      <c r="I15" s="72"/>
      <c r="J15" s="71"/>
      <c r="K15" s="72"/>
      <c r="L15" s="110"/>
      <c r="M15" s="107"/>
      <c r="N15" s="85"/>
      <c r="O15" s="85"/>
      <c r="P15" s="85"/>
    </row>
    <row r="16" spans="1:16" x14ac:dyDescent="0.3">
      <c r="A16" s="128" t="s">
        <v>406</v>
      </c>
      <c r="B16" s="71">
        <f>+B12-B14</f>
        <v>5011</v>
      </c>
      <c r="C16" s="72">
        <f>B16/$B$7</f>
        <v>0.14375878589666352</v>
      </c>
      <c r="D16" s="71">
        <f>+D12-D14</f>
        <v>1030</v>
      </c>
      <c r="E16" s="72">
        <f>D16/$D$7</f>
        <v>3.2852768563409032E-2</v>
      </c>
      <c r="F16" s="71">
        <f>+F12-F14</f>
        <v>548</v>
      </c>
      <c r="G16" s="72">
        <f>F16/$F$7</f>
        <v>2.0685489959232976E-2</v>
      </c>
      <c r="H16" s="71">
        <f>+H12-H14</f>
        <v>455</v>
      </c>
      <c r="I16" s="72">
        <f>H16/$H$7</f>
        <v>2.1409749670619236E-2</v>
      </c>
      <c r="J16" s="71">
        <f>+J12-J14</f>
        <v>297</v>
      </c>
      <c r="K16" s="72">
        <f>J16/$J$7</f>
        <v>1.7370452684524505E-2</v>
      </c>
      <c r="L16" s="110"/>
      <c r="M16" s="107" t="s">
        <v>414</v>
      </c>
      <c r="N16" s="85">
        <f>AVERAGE(C16,E16,G16,I16,K16)</f>
        <v>4.7215449354889846E-2</v>
      </c>
      <c r="O16" s="85">
        <f>(C16-K16)/5</f>
        <v>2.5277666642427803E-2</v>
      </c>
      <c r="P16" s="85">
        <f>AVERAGE(I16,E16,C16)</f>
        <v>6.6007101376897262E-2</v>
      </c>
    </row>
    <row r="17" spans="1:16" hidden="1" x14ac:dyDescent="0.3">
      <c r="A17" s="128"/>
      <c r="B17" s="71"/>
      <c r="C17" s="72"/>
      <c r="D17" s="71"/>
      <c r="E17" s="72"/>
      <c r="F17" s="71"/>
      <c r="G17" s="72"/>
      <c r="H17" s="71"/>
      <c r="I17" s="72"/>
      <c r="J17" s="71"/>
      <c r="K17" s="72"/>
      <c r="L17" s="110"/>
      <c r="M17" s="107"/>
      <c r="N17" s="85"/>
      <c r="O17" s="85"/>
      <c r="P17" s="85"/>
    </row>
    <row r="18" spans="1:16" x14ac:dyDescent="0.3">
      <c r="A18" s="128" t="s">
        <v>405</v>
      </c>
      <c r="B18" s="71">
        <v>-61</v>
      </c>
      <c r="C18" s="72">
        <f>B18/$B$7</f>
        <v>-1.7500071721605417E-3</v>
      </c>
      <c r="D18" s="71">
        <v>-370</v>
      </c>
      <c r="E18" s="72">
        <f>D18/$D$7</f>
        <v>-1.1801479969379945E-2</v>
      </c>
      <c r="F18" s="71">
        <v>984</v>
      </c>
      <c r="G18" s="72">
        <f>F18/$F$7</f>
        <v>3.7143288539936585E-2</v>
      </c>
      <c r="H18" s="71">
        <v>2106</v>
      </c>
      <c r="I18" s="72">
        <f>H18/$H$7</f>
        <v>9.9096555618294752E-2</v>
      </c>
      <c r="J18" s="71">
        <v>409</v>
      </c>
      <c r="K18" s="72">
        <f>J18/$J$7</f>
        <v>2.3920926424143174E-2</v>
      </c>
      <c r="L18" s="110"/>
      <c r="M18" s="107" t="s">
        <v>414</v>
      </c>
      <c r="N18" s="85">
        <f>AVERAGE(C18,E18,G18,I18,K18)</f>
        <v>2.9321856688166802E-2</v>
      </c>
      <c r="O18" s="85">
        <f>(C18-K18)/5</f>
        <v>-5.1341867192607428E-3</v>
      </c>
      <c r="P18" s="85">
        <f>AVERAGE(I18,E18,C18)</f>
        <v>2.8515022825584754E-2</v>
      </c>
    </row>
    <row r="19" spans="1:16" hidden="1" x14ac:dyDescent="0.3">
      <c r="A19" s="128"/>
      <c r="B19" s="71"/>
      <c r="C19" s="72"/>
      <c r="D19" s="71"/>
      <c r="E19" s="72"/>
      <c r="F19" s="71"/>
      <c r="G19" s="72"/>
      <c r="H19" s="71"/>
      <c r="I19" s="72"/>
      <c r="J19" s="71"/>
      <c r="K19" s="72"/>
      <c r="L19" s="110"/>
      <c r="M19" s="107"/>
      <c r="N19" s="85"/>
      <c r="O19" s="85"/>
      <c r="P19" s="85"/>
    </row>
    <row r="20" spans="1:16" x14ac:dyDescent="0.3">
      <c r="A20" s="128" t="s">
        <v>463</v>
      </c>
      <c r="B20" s="71">
        <v>814</v>
      </c>
      <c r="C20" s="72">
        <f>B20/$F$7</f>
        <v>3.0726256983240222E-2</v>
      </c>
      <c r="D20" s="71">
        <v>452</v>
      </c>
      <c r="E20" s="72">
        <f>D20/$F$7</f>
        <v>1.7061754491922088E-2</v>
      </c>
      <c r="F20" s="71">
        <v>88</v>
      </c>
      <c r="G20" s="72">
        <f>F20/$F$7</f>
        <v>3.3217575117016457E-3</v>
      </c>
      <c r="H20" s="71">
        <v>-1511</v>
      </c>
      <c r="I20" s="72">
        <f>H20/$H$7</f>
        <v>-7.1099190664408049E-2</v>
      </c>
      <c r="J20" s="71">
        <v>580</v>
      </c>
      <c r="K20" s="72">
        <f>J20/$J$7</f>
        <v>3.3922096151596678E-2</v>
      </c>
      <c r="L20" s="110"/>
      <c r="M20" s="107" t="s">
        <v>414</v>
      </c>
      <c r="N20" s="85">
        <f>AVERAGE(C20,E20,G20,I20,K20)</f>
        <v>2.7865348948105176E-3</v>
      </c>
      <c r="O20" s="85">
        <f>(C20-K20)/5</f>
        <v>-6.3916783367129124E-4</v>
      </c>
      <c r="P20" s="85">
        <f>AVERAGE(I20,E20,C20)</f>
        <v>-7.7703930630819143E-3</v>
      </c>
    </row>
    <row r="21" spans="1:16" hidden="1" x14ac:dyDescent="0.3">
      <c r="A21" s="128"/>
      <c r="B21" s="71"/>
      <c r="C21" s="72"/>
      <c r="D21" s="71"/>
      <c r="E21" s="72"/>
      <c r="F21" s="71"/>
      <c r="G21" s="72"/>
      <c r="H21" s="71"/>
      <c r="I21" s="72"/>
      <c r="J21" s="71"/>
      <c r="K21" s="72"/>
      <c r="L21" s="110"/>
      <c r="M21" s="107"/>
      <c r="N21" s="109"/>
      <c r="O21" s="109"/>
      <c r="P21" s="85"/>
    </row>
    <row r="22" spans="1:16" hidden="1" x14ac:dyDescent="0.3">
      <c r="A22" s="128" t="s">
        <v>416</v>
      </c>
      <c r="B22" s="71">
        <v>0</v>
      </c>
      <c r="C22" s="72"/>
      <c r="D22" s="71">
        <v>0</v>
      </c>
      <c r="E22" s="72"/>
      <c r="F22" s="71">
        <v>0</v>
      </c>
      <c r="G22" s="72"/>
      <c r="H22" s="71">
        <v>0</v>
      </c>
      <c r="I22" s="72"/>
      <c r="J22" s="71">
        <v>0</v>
      </c>
      <c r="K22" s="72"/>
      <c r="L22" s="110"/>
      <c r="M22" s="107" t="s">
        <v>414</v>
      </c>
      <c r="N22" s="109">
        <f>(C22-K22)/5</f>
        <v>0</v>
      </c>
      <c r="O22" s="109">
        <v>0</v>
      </c>
      <c r="P22" s="85">
        <v>0</v>
      </c>
    </row>
    <row r="23" spans="1:16" hidden="1" x14ac:dyDescent="0.3">
      <c r="A23" s="128"/>
      <c r="B23" s="71"/>
      <c r="C23" s="72"/>
      <c r="D23" s="71"/>
      <c r="E23" s="72"/>
      <c r="F23" s="71"/>
      <c r="G23" s="72"/>
      <c r="H23" s="71"/>
      <c r="I23" s="72"/>
      <c r="J23" s="71"/>
      <c r="K23" s="72"/>
      <c r="L23" s="110"/>
      <c r="M23" s="107"/>
      <c r="N23" s="109"/>
      <c r="O23" s="109"/>
      <c r="P23" s="85"/>
    </row>
    <row r="24" spans="1:16" x14ac:dyDescent="0.3">
      <c r="A24" s="128" t="s">
        <v>107</v>
      </c>
      <c r="B24" s="71">
        <f>+B16+B18-B20</f>
        <v>4136</v>
      </c>
      <c r="C24" s="72">
        <f>B24/$B$7</f>
        <v>0.11865622400091803</v>
      </c>
      <c r="D24" s="71">
        <f>+D16+D18-D20</f>
        <v>208</v>
      </c>
      <c r="E24" s="72">
        <f>D24/$D$7</f>
        <v>6.6343454963000764E-3</v>
      </c>
      <c r="F24" s="71">
        <f>+F16+F18-F20</f>
        <v>1444</v>
      </c>
      <c r="G24" s="72">
        <f>F24/$F$7</f>
        <v>5.4507020987467916E-2</v>
      </c>
      <c r="H24" s="71">
        <f>+H16+H18-H20</f>
        <v>4072</v>
      </c>
      <c r="I24" s="72">
        <f>H24/$H$7</f>
        <v>0.19160549595332205</v>
      </c>
      <c r="J24" s="71">
        <f>+J16+J18-J20</f>
        <v>126</v>
      </c>
      <c r="K24" s="72">
        <f>J24/$J$7</f>
        <v>7.3692829570710027E-3</v>
      </c>
      <c r="L24" s="110"/>
      <c r="M24" s="107"/>
      <c r="N24" s="109"/>
      <c r="O24" s="109"/>
      <c r="P24" s="85"/>
    </row>
    <row r="25" spans="1:16" hidden="1" x14ac:dyDescent="0.3">
      <c r="A25" s="128"/>
      <c r="B25" s="129"/>
      <c r="C25" s="72"/>
      <c r="D25" s="129"/>
      <c r="E25" s="72"/>
      <c r="F25" s="129"/>
      <c r="G25" s="72"/>
      <c r="H25" s="129"/>
      <c r="I25" s="72"/>
      <c r="J25" s="129"/>
      <c r="K25" s="72"/>
      <c r="M25" s="107"/>
      <c r="N25" s="109"/>
      <c r="O25" s="109"/>
      <c r="P25" s="85"/>
    </row>
    <row r="26" spans="1:16" x14ac:dyDescent="0.3">
      <c r="A26" s="128" t="s">
        <v>415</v>
      </c>
      <c r="B26" s="69">
        <v>0.16</v>
      </c>
      <c r="C26" s="89"/>
      <c r="D26" s="69">
        <v>0.68</v>
      </c>
      <c r="E26" s="89"/>
      <c r="F26" s="69">
        <v>0.06</v>
      </c>
      <c r="G26" s="89"/>
      <c r="H26" s="69">
        <v>-0.59</v>
      </c>
      <c r="I26" s="89"/>
      <c r="J26" s="69">
        <v>0.82</v>
      </c>
      <c r="K26" s="89"/>
      <c r="L26" s="112"/>
      <c r="M26" s="107" t="s">
        <v>414</v>
      </c>
      <c r="N26" s="85">
        <f>+AVERAGE(B26,D26,F26,H26,J26)</f>
        <v>0.22600000000000003</v>
      </c>
      <c r="O26" s="109"/>
      <c r="P26" s="85">
        <f>AVERAGE(B26,D26,F26,H26,J26)</f>
        <v>0.22600000000000003</v>
      </c>
    </row>
    <row r="27" spans="1:16" hidden="1" x14ac:dyDescent="0.3">
      <c r="A27" s="128"/>
      <c r="B27" s="129"/>
      <c r="C27" s="72"/>
      <c r="D27" s="129"/>
      <c r="E27" s="72"/>
      <c r="F27" s="129"/>
      <c r="G27" s="72"/>
      <c r="H27" s="129"/>
      <c r="I27" s="72"/>
      <c r="J27" s="129"/>
      <c r="K27" s="72"/>
      <c r="M27" s="106"/>
      <c r="N27" s="106"/>
      <c r="O27" s="113"/>
      <c r="P27" s="106"/>
    </row>
    <row r="28" spans="1:16" x14ac:dyDescent="0.3">
      <c r="A28" s="128" t="s">
        <v>215</v>
      </c>
      <c r="B28" s="71">
        <f>B16-B20+B18*B26</f>
        <v>4187.24</v>
      </c>
      <c r="C28" s="72">
        <f>B28/B7</f>
        <v>0.12012623002553288</v>
      </c>
      <c r="D28" s="71">
        <f>D16-D20+D18*D26</f>
        <v>326.39999999999998</v>
      </c>
      <c r="E28" s="72">
        <f>D28/D7</f>
        <v>1.0410819086501658E-2</v>
      </c>
      <c r="F28" s="71">
        <f>F16-F20+F18*F26</f>
        <v>519.04</v>
      </c>
      <c r="G28" s="72">
        <f>F28/F7</f>
        <v>1.9592329759927522E-2</v>
      </c>
      <c r="H28" s="71">
        <f>H16-H20+H18*H26</f>
        <v>723.46</v>
      </c>
      <c r="I28" s="72">
        <f>H28/H7</f>
        <v>3.4041972520233395E-2</v>
      </c>
      <c r="J28" s="71">
        <f>J16-J20+J18*J26</f>
        <v>52.379999999999995</v>
      </c>
      <c r="K28" s="72">
        <f>J28/J7</f>
        <v>3.0635162007252308E-3</v>
      </c>
      <c r="L28" s="114"/>
      <c r="M28" s="106"/>
      <c r="N28" s="106"/>
      <c r="O28" s="106"/>
      <c r="P28" s="106"/>
    </row>
    <row r="29" spans="1:16" x14ac:dyDescent="0.3">
      <c r="B29" s="133"/>
      <c r="D29" s="115"/>
      <c r="E29" s="115"/>
      <c r="F29" s="115"/>
      <c r="G29" s="115"/>
      <c r="H29" s="115"/>
      <c r="I29" s="115"/>
      <c r="J29" s="115"/>
      <c r="K29" s="115"/>
      <c r="L29" s="115"/>
      <c r="N29" s="110"/>
    </row>
    <row r="30" spans="1:16" x14ac:dyDescent="0.3">
      <c r="J30" s="116"/>
      <c r="K30" s="115"/>
      <c r="L30" s="115"/>
      <c r="N30" s="112"/>
    </row>
    <row r="31" spans="1:16" x14ac:dyDescent="0.3">
      <c r="A31" s="180" t="s">
        <v>380</v>
      </c>
      <c r="B31" s="161" t="s">
        <v>409</v>
      </c>
      <c r="C31" s="161" t="s">
        <v>409</v>
      </c>
      <c r="D31" s="161" t="s">
        <v>409</v>
      </c>
      <c r="E31" s="161" t="s">
        <v>409</v>
      </c>
      <c r="F31" s="161" t="s">
        <v>409</v>
      </c>
      <c r="J31" s="116"/>
      <c r="K31" s="115"/>
      <c r="L31" s="60" t="s">
        <v>432</v>
      </c>
      <c r="M31" s="136"/>
      <c r="N31" s="112"/>
    </row>
    <row r="32" spans="1:16" x14ac:dyDescent="0.3">
      <c r="A32" s="181"/>
      <c r="B32" s="161">
        <v>2025</v>
      </c>
      <c r="C32" s="161">
        <v>2026</v>
      </c>
      <c r="D32" s="161">
        <v>2027</v>
      </c>
      <c r="E32" s="161">
        <v>2028</v>
      </c>
      <c r="F32" s="161">
        <v>2029</v>
      </c>
      <c r="J32" s="116"/>
      <c r="K32" s="115"/>
      <c r="L32" s="60" t="s">
        <v>433</v>
      </c>
      <c r="M32" s="137">
        <v>0.25</v>
      </c>
      <c r="N32" s="110"/>
    </row>
    <row r="33" spans="1:14" x14ac:dyDescent="0.3">
      <c r="A33" s="128" t="s">
        <v>413</v>
      </c>
      <c r="B33" s="71">
        <f>+B7*(1-0.05)</f>
        <v>33114.15</v>
      </c>
      <c r="C33" s="71">
        <f>+B33*(1-0.03)</f>
        <v>32120.7255</v>
      </c>
      <c r="D33" s="71">
        <f>+C33*(1+0.1)</f>
        <v>35332.798050000005</v>
      </c>
      <c r="E33" s="71">
        <f>+D33*(1+0.15)</f>
        <v>40632.717757500002</v>
      </c>
      <c r="F33" s="71">
        <f>+E33*(1+0.15)</f>
        <v>46727.625421124998</v>
      </c>
      <c r="G33" s="135"/>
      <c r="J33" s="116"/>
      <c r="K33" s="115"/>
      <c r="L33" s="60" t="s">
        <v>434</v>
      </c>
      <c r="M33" s="137">
        <v>0.65</v>
      </c>
      <c r="N33" s="112"/>
    </row>
    <row r="34" spans="1:14" hidden="1" x14ac:dyDescent="0.3">
      <c r="A34" s="128"/>
      <c r="B34" s="71"/>
      <c r="C34" s="71"/>
      <c r="D34" s="71"/>
      <c r="E34" s="71"/>
      <c r="F34" s="71"/>
      <c r="J34" s="116"/>
      <c r="K34" s="115"/>
      <c r="L34" s="60" t="s">
        <v>435</v>
      </c>
      <c r="M34" s="138">
        <v>-2.5999999999999999E-2</v>
      </c>
    </row>
    <row r="35" spans="1:14" x14ac:dyDescent="0.3">
      <c r="A35" s="128" t="s">
        <v>190</v>
      </c>
      <c r="B35" s="71">
        <f>+B33*$M$32</f>
        <v>8278.5375000000004</v>
      </c>
      <c r="C35" s="71">
        <f t="shared" ref="C35:F35" si="0">+C33*$M$32</f>
        <v>8030.1813750000001</v>
      </c>
      <c r="D35" s="71">
        <f t="shared" si="0"/>
        <v>8833.1995125000012</v>
      </c>
      <c r="E35" s="71">
        <f t="shared" si="0"/>
        <v>10158.179439375001</v>
      </c>
      <c r="F35" s="71">
        <f t="shared" si="0"/>
        <v>11681.906355281249</v>
      </c>
      <c r="G35" s="116"/>
      <c r="H35" s="116"/>
      <c r="J35" s="116"/>
      <c r="K35" s="115"/>
      <c r="L35" s="60" t="s">
        <v>436</v>
      </c>
      <c r="M35" s="139">
        <f>+P26</f>
        <v>0.22600000000000003</v>
      </c>
    </row>
    <row r="36" spans="1:14" hidden="1" x14ac:dyDescent="0.3">
      <c r="A36" s="128"/>
      <c r="B36" s="71"/>
      <c r="C36" s="71"/>
      <c r="D36" s="71"/>
      <c r="E36" s="71"/>
      <c r="F36" s="71"/>
      <c r="G36" s="116"/>
      <c r="H36" s="116"/>
      <c r="J36" s="116"/>
      <c r="K36" s="115"/>
      <c r="L36" s="115"/>
      <c r="M36" s="117"/>
    </row>
    <row r="37" spans="1:14" x14ac:dyDescent="0.3">
      <c r="A37" s="128" t="s">
        <v>408</v>
      </c>
      <c r="B37" s="71">
        <f>+B33-B35</f>
        <v>24835.612500000003</v>
      </c>
      <c r="C37" s="71">
        <f t="shared" ref="C37:F37" si="1">+C33-C35</f>
        <v>24090.544125</v>
      </c>
      <c r="D37" s="71">
        <f t="shared" si="1"/>
        <v>26499.598537500002</v>
      </c>
      <c r="E37" s="71">
        <f t="shared" si="1"/>
        <v>30474.538318125</v>
      </c>
      <c r="F37" s="71">
        <f t="shared" si="1"/>
        <v>35045.719065843747</v>
      </c>
      <c r="G37" s="116"/>
      <c r="H37" s="116"/>
      <c r="J37" s="116"/>
      <c r="K37" s="115"/>
      <c r="L37" s="115"/>
      <c r="M37" s="115"/>
    </row>
    <row r="38" spans="1:14" hidden="1" x14ac:dyDescent="0.3">
      <c r="A38" s="128"/>
      <c r="B38" s="71"/>
      <c r="C38" s="71"/>
      <c r="D38" s="71"/>
      <c r="E38" s="71"/>
      <c r="F38" s="71"/>
      <c r="G38" s="116"/>
      <c r="H38" s="116"/>
      <c r="J38" s="112"/>
      <c r="K38" s="115"/>
      <c r="L38" s="115"/>
      <c r="M38" s="115"/>
    </row>
    <row r="39" spans="1:14" x14ac:dyDescent="0.3">
      <c r="A39" s="128" t="s">
        <v>407</v>
      </c>
      <c r="B39" s="71">
        <f>+B33*$M$33</f>
        <v>21524.197500000002</v>
      </c>
      <c r="C39" s="71">
        <f t="shared" ref="C39:F39" si="2">+C33*$M$33</f>
        <v>20878.471575</v>
      </c>
      <c r="D39" s="71">
        <f t="shared" si="2"/>
        <v>22966.318732500004</v>
      </c>
      <c r="E39" s="71">
        <f t="shared" si="2"/>
        <v>26411.266542375004</v>
      </c>
      <c r="F39" s="71">
        <f t="shared" si="2"/>
        <v>30372.956523731249</v>
      </c>
      <c r="G39" s="116"/>
      <c r="H39" s="116"/>
      <c r="J39" s="115"/>
      <c r="K39" s="115"/>
      <c r="L39" s="115"/>
      <c r="M39" s="115"/>
    </row>
    <row r="40" spans="1:14" hidden="1" x14ac:dyDescent="0.3">
      <c r="A40" s="128"/>
      <c r="B40" s="71"/>
      <c r="C40" s="71"/>
      <c r="D40" s="71"/>
      <c r="E40" s="71"/>
      <c r="F40" s="71"/>
      <c r="G40" s="116"/>
      <c r="H40" s="116"/>
      <c r="J40" s="112"/>
      <c r="K40" s="115"/>
      <c r="L40" s="115"/>
      <c r="M40" s="115"/>
    </row>
    <row r="41" spans="1:14" x14ac:dyDescent="0.3">
      <c r="A41" s="128" t="s">
        <v>406</v>
      </c>
      <c r="B41" s="71">
        <f>+B37-B39</f>
        <v>3311.4150000000009</v>
      </c>
      <c r="C41" s="71">
        <f t="shared" ref="C41:F41" si="3">+C37-C39</f>
        <v>3212.0725500000008</v>
      </c>
      <c r="D41" s="71">
        <f t="shared" si="3"/>
        <v>3533.2798049999983</v>
      </c>
      <c r="E41" s="71">
        <f t="shared" si="3"/>
        <v>4063.2717757499959</v>
      </c>
      <c r="F41" s="71">
        <f t="shared" si="3"/>
        <v>4672.7625421124976</v>
      </c>
      <c r="G41" s="116"/>
      <c r="H41" s="116"/>
    </row>
    <row r="42" spans="1:14" hidden="1" x14ac:dyDescent="0.3">
      <c r="A42" s="128"/>
      <c r="B42" s="71"/>
      <c r="C42" s="71"/>
      <c r="D42" s="71"/>
      <c r="E42" s="71"/>
      <c r="F42" s="71"/>
      <c r="G42" s="116"/>
      <c r="H42" s="116"/>
    </row>
    <row r="43" spans="1:14" x14ac:dyDescent="0.3">
      <c r="A43" s="128" t="s">
        <v>405</v>
      </c>
      <c r="B43" s="71">
        <f>+B33*$M$34</f>
        <v>-860.96789999999999</v>
      </c>
      <c r="C43" s="71">
        <f t="shared" ref="C43:F43" si="4">+C33*$M$34</f>
        <v>-835.13886300000001</v>
      </c>
      <c r="D43" s="71">
        <f t="shared" si="4"/>
        <v>-918.6527493000001</v>
      </c>
      <c r="E43" s="71">
        <f t="shared" si="4"/>
        <v>-1056.450661695</v>
      </c>
      <c r="F43" s="71">
        <f t="shared" si="4"/>
        <v>-1214.91826094925</v>
      </c>
      <c r="G43" s="116"/>
      <c r="H43" s="116"/>
    </row>
    <row r="44" spans="1:14" hidden="1" x14ac:dyDescent="0.3">
      <c r="A44" s="128"/>
      <c r="B44" s="109"/>
      <c r="C44" s="109"/>
      <c r="D44" s="109"/>
      <c r="E44" s="109"/>
      <c r="F44" s="109"/>
    </row>
    <row r="45" spans="1:14" x14ac:dyDescent="0.3">
      <c r="A45" s="128" t="s">
        <v>404</v>
      </c>
      <c r="B45" s="162">
        <f>+$M$35</f>
        <v>0.22600000000000003</v>
      </c>
      <c r="C45" s="162">
        <f t="shared" ref="C45:F45" si="5">+$M$35</f>
        <v>0.22600000000000003</v>
      </c>
      <c r="D45" s="162">
        <f t="shared" si="5"/>
        <v>0.22600000000000003</v>
      </c>
      <c r="E45" s="162">
        <f t="shared" si="5"/>
        <v>0.22600000000000003</v>
      </c>
      <c r="F45" s="162">
        <f t="shared" si="5"/>
        <v>0.22600000000000003</v>
      </c>
      <c r="G45" s="112"/>
      <c r="H45" s="112"/>
    </row>
    <row r="46" spans="1:14" hidden="1" x14ac:dyDescent="0.3">
      <c r="A46" s="128"/>
      <c r="B46" s="109"/>
      <c r="C46" s="109"/>
      <c r="D46" s="109"/>
      <c r="E46" s="109"/>
      <c r="F46" s="109"/>
    </row>
    <row r="47" spans="1:14" x14ac:dyDescent="0.3">
      <c r="A47" s="128" t="s">
        <v>215</v>
      </c>
      <c r="B47" s="163">
        <f>(B41+B43)*(1-B45)-(B43*B45)</f>
        <v>2091.2248008000006</v>
      </c>
      <c r="C47" s="163">
        <f t="shared" ref="C47:F47" si="6">(C41+C43)*(1-C45)-(C43*C45)</f>
        <v>2028.4880567760006</v>
      </c>
      <c r="D47" s="163">
        <f t="shared" si="6"/>
        <v>2231.3368624535983</v>
      </c>
      <c r="E47" s="163">
        <f t="shared" si="6"/>
        <v>2566.0373918216364</v>
      </c>
      <c r="F47" s="163">
        <f t="shared" si="6"/>
        <v>2950.9430005948843</v>
      </c>
      <c r="G47" s="116"/>
      <c r="H47" s="116"/>
    </row>
    <row r="48" spans="1:14" x14ac:dyDescent="0.3">
      <c r="A48" s="109"/>
      <c r="B48" s="109"/>
      <c r="C48" s="109"/>
      <c r="D48" s="109"/>
      <c r="E48" s="109"/>
      <c r="F48" s="109"/>
    </row>
    <row r="49" spans="1:8" x14ac:dyDescent="0.3">
      <c r="A49" s="106" t="s">
        <v>412</v>
      </c>
    </row>
    <row r="50" spans="1:8" x14ac:dyDescent="0.3">
      <c r="A50" s="106"/>
    </row>
    <row r="51" spans="1:8" x14ac:dyDescent="0.3">
      <c r="A51" s="182" t="s">
        <v>380</v>
      </c>
      <c r="B51" s="182" t="s">
        <v>411</v>
      </c>
      <c r="C51" s="182"/>
      <c r="D51" s="183" t="s">
        <v>410</v>
      </c>
      <c r="E51" s="184"/>
    </row>
    <row r="52" spans="1:8" x14ac:dyDescent="0.3">
      <c r="A52" s="182"/>
      <c r="B52" s="105" t="s">
        <v>409</v>
      </c>
      <c r="C52" s="105" t="s">
        <v>437</v>
      </c>
      <c r="D52" s="105" t="s">
        <v>409</v>
      </c>
      <c r="E52" s="105" t="s">
        <v>437</v>
      </c>
    </row>
    <row r="53" spans="1:8" x14ac:dyDescent="0.3">
      <c r="A53" s="109"/>
      <c r="B53" s="105">
        <v>2025</v>
      </c>
      <c r="C53" s="105"/>
      <c r="D53" s="105">
        <v>2025</v>
      </c>
      <c r="E53" s="109"/>
    </row>
    <row r="54" spans="1:8" x14ac:dyDescent="0.3">
      <c r="A54" s="109" t="s">
        <v>111</v>
      </c>
      <c r="B54" s="78">
        <f>+$B$7*(1+C54)</f>
        <v>31371.3</v>
      </c>
      <c r="C54" s="145">
        <v>-0.1</v>
      </c>
      <c r="D54" s="78">
        <f>+B7*(1+E54)</f>
        <v>43571.25</v>
      </c>
      <c r="E54" s="85">
        <v>0.25</v>
      </c>
      <c r="G54" s="116"/>
      <c r="H54" s="112"/>
    </row>
    <row r="55" spans="1:8" hidden="1" x14ac:dyDescent="0.3">
      <c r="A55" s="109"/>
      <c r="B55" s="78"/>
      <c r="C55" s="109"/>
      <c r="D55" s="78"/>
      <c r="E55" s="109"/>
      <c r="G55" s="116"/>
    </row>
    <row r="56" spans="1:8" x14ac:dyDescent="0.3">
      <c r="A56" s="109" t="s">
        <v>190</v>
      </c>
      <c r="B56" s="78">
        <f>+$B$54*C56</f>
        <v>9411.39</v>
      </c>
      <c r="C56" s="145">
        <f>+$M$32*1.2</f>
        <v>0.3</v>
      </c>
      <c r="D56" s="78">
        <f>+$D$54*E56</f>
        <v>8169.609375</v>
      </c>
      <c r="E56" s="145">
        <f>+$M$32*(1-0.25)</f>
        <v>0.1875</v>
      </c>
      <c r="G56" s="116"/>
      <c r="H56" s="110"/>
    </row>
    <row r="57" spans="1:8" hidden="1" x14ac:dyDescent="0.3">
      <c r="A57" s="109"/>
      <c r="B57" s="78"/>
      <c r="C57" s="109"/>
      <c r="D57" s="78"/>
      <c r="E57" s="109"/>
      <c r="G57" s="116"/>
    </row>
    <row r="58" spans="1:8" x14ac:dyDescent="0.3">
      <c r="A58" s="109" t="s">
        <v>408</v>
      </c>
      <c r="B58" s="78">
        <f>+B54-B56</f>
        <v>21959.91</v>
      </c>
      <c r="C58" s="109"/>
      <c r="D58" s="78">
        <f>+D54-D56</f>
        <v>35401.640625</v>
      </c>
      <c r="E58" s="109"/>
      <c r="G58" s="116"/>
    </row>
    <row r="59" spans="1:8" hidden="1" x14ac:dyDescent="0.3">
      <c r="A59" s="109"/>
      <c r="B59" s="78"/>
      <c r="C59" s="109"/>
      <c r="D59" s="78"/>
      <c r="E59" s="109"/>
      <c r="G59" s="116"/>
    </row>
    <row r="60" spans="1:8" x14ac:dyDescent="0.3">
      <c r="A60" s="109" t="s">
        <v>407</v>
      </c>
      <c r="B60" s="78">
        <f>+$B$54*C60</f>
        <v>24469.614000000001</v>
      </c>
      <c r="C60" s="145">
        <f>+$M$33*1.2</f>
        <v>0.78</v>
      </c>
      <c r="D60" s="78">
        <f>+$D$54*E60</f>
        <v>21240.984375000004</v>
      </c>
      <c r="E60" s="145">
        <f>+$M$33*(1-0.25)</f>
        <v>0.48750000000000004</v>
      </c>
      <c r="G60" s="116"/>
      <c r="H60" s="110"/>
    </row>
    <row r="61" spans="1:8" hidden="1" x14ac:dyDescent="0.3">
      <c r="A61" s="109"/>
      <c r="B61" s="78"/>
      <c r="C61" s="109"/>
      <c r="D61" s="78"/>
      <c r="E61" s="109"/>
      <c r="G61" s="116"/>
    </row>
    <row r="62" spans="1:8" x14ac:dyDescent="0.3">
      <c r="A62" s="109" t="s">
        <v>406</v>
      </c>
      <c r="B62" s="78">
        <f>+B58-B60</f>
        <v>-2509.7040000000015</v>
      </c>
      <c r="C62" s="109"/>
      <c r="D62" s="78">
        <f>+D58-D60</f>
        <v>14160.656249999996</v>
      </c>
      <c r="E62" s="109"/>
      <c r="G62" s="116"/>
    </row>
    <row r="63" spans="1:8" hidden="1" x14ac:dyDescent="0.3">
      <c r="A63" s="109"/>
      <c r="B63" s="78"/>
      <c r="C63" s="109"/>
      <c r="D63" s="78"/>
      <c r="E63" s="109"/>
      <c r="G63" s="116"/>
    </row>
    <row r="64" spans="1:8" x14ac:dyDescent="0.3">
      <c r="A64" s="109" t="s">
        <v>405</v>
      </c>
      <c r="B64" s="78">
        <f>+$B$54*C64</f>
        <v>-978.78455999999994</v>
      </c>
      <c r="C64" s="145">
        <f>+M34*1.2</f>
        <v>-3.1199999999999999E-2</v>
      </c>
      <c r="D64" s="78">
        <f>+$D$54*E64</f>
        <v>-849.63937499999997</v>
      </c>
      <c r="E64" s="145">
        <f>+M34*(1-0.25)</f>
        <v>-1.95E-2</v>
      </c>
      <c r="G64" s="116"/>
      <c r="H64" s="110"/>
    </row>
    <row r="65" spans="1:7" hidden="1" x14ac:dyDescent="0.3">
      <c r="A65" s="109"/>
      <c r="B65" s="109"/>
      <c r="C65" s="109"/>
      <c r="D65" s="78"/>
      <c r="E65" s="109"/>
    </row>
    <row r="66" spans="1:7" x14ac:dyDescent="0.3">
      <c r="A66" s="109" t="s">
        <v>404</v>
      </c>
      <c r="B66" s="164">
        <f>+P26</f>
        <v>0.22600000000000003</v>
      </c>
      <c r="C66" s="164"/>
      <c r="D66" s="164">
        <f>M35</f>
        <v>0.22600000000000003</v>
      </c>
      <c r="E66" s="162"/>
      <c r="G66" s="112"/>
    </row>
    <row r="67" spans="1:7" hidden="1" x14ac:dyDescent="0.3">
      <c r="A67" s="109"/>
      <c r="B67" s="109"/>
      <c r="C67" s="109"/>
      <c r="D67" s="78"/>
      <c r="E67" s="109"/>
    </row>
    <row r="68" spans="1:7" x14ac:dyDescent="0.3">
      <c r="A68" s="109" t="s">
        <v>215</v>
      </c>
      <c r="B68" s="78">
        <f>(B62+B64)*(1-B66)-(B64*B66)</f>
        <v>-2478.8848348800016</v>
      </c>
      <c r="C68" s="109"/>
      <c r="D68" s="78">
        <f>(D62+D64)*(1-D66)-(D64*D66)</f>
        <v>10494.745559999998</v>
      </c>
      <c r="E68" s="109"/>
      <c r="G68" s="115"/>
    </row>
  </sheetData>
  <mergeCells count="4">
    <mergeCell ref="A31:A32"/>
    <mergeCell ref="B51:C51"/>
    <mergeCell ref="A51:A52"/>
    <mergeCell ref="D51:E51"/>
  </mergeCells>
  <pageMargins left="0.7" right="0.7" top="0.75" bottom="0.75" header="0.3" footer="0.3"/>
  <ignoredErrors>
    <ignoredError sqref="C24 C28 C16 E16 E24 E28 G16 G24 G28 I16 I24 I2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3143-5253-462F-8CA7-4413C0657343}">
  <dimension ref="A1:P29"/>
  <sheetViews>
    <sheetView topLeftCell="A3" workbookViewId="0">
      <selection activeCell="E41" sqref="E41"/>
    </sheetView>
  </sheetViews>
  <sheetFormatPr defaultRowHeight="15.6" x14ac:dyDescent="0.3"/>
  <cols>
    <col min="1" max="1" width="39.44140625" style="60" bestFit="1" customWidth="1"/>
    <col min="2" max="4" width="12.77734375" style="60" customWidth="1"/>
    <col min="5" max="6" width="8.88671875" style="60"/>
    <col min="7" max="7" width="23.5546875" style="60" bestFit="1" customWidth="1"/>
    <col min="8" max="13" width="9" style="60" bestFit="1" customWidth="1"/>
    <col min="14" max="14" width="2.44140625" style="60" customWidth="1"/>
    <col min="15" max="15" width="22.77734375" style="60" bestFit="1" customWidth="1"/>
    <col min="16" max="16" width="7.88671875" style="60" bestFit="1" customWidth="1"/>
    <col min="17" max="16384" width="8.88671875" style="60"/>
  </cols>
  <sheetData>
    <row r="1" spans="1:16" x14ac:dyDescent="0.3">
      <c r="A1" s="90" t="str">
        <f>+'Ratio Analysis Summary'!A1</f>
        <v>BUSI 226 : Financial Statement Analysis</v>
      </c>
    </row>
    <row r="2" spans="1:16" x14ac:dyDescent="0.3">
      <c r="A2" s="90" t="str">
        <f>+'Ratio Analysis Summary'!A2</f>
        <v>Salesforce Inc</v>
      </c>
    </row>
    <row r="3" spans="1:16" x14ac:dyDescent="0.3">
      <c r="A3" s="90" t="str">
        <f>+'Ratio Analysis Summary'!A3</f>
        <v>For Fiscal year ended January 31, 2024</v>
      </c>
    </row>
    <row r="4" spans="1:16" x14ac:dyDescent="0.3">
      <c r="A4" s="90" t="s">
        <v>428</v>
      </c>
    </row>
    <row r="6" spans="1:16" x14ac:dyDescent="0.3">
      <c r="A6" s="177" t="s">
        <v>380</v>
      </c>
      <c r="B6" s="177" t="s">
        <v>118</v>
      </c>
      <c r="C6" s="177"/>
      <c r="D6" s="64" t="s">
        <v>262</v>
      </c>
      <c r="G6" s="185"/>
      <c r="H6" s="64" t="s">
        <v>409</v>
      </c>
      <c r="I6" s="64" t="s">
        <v>409</v>
      </c>
      <c r="J6" s="64" t="s">
        <v>409</v>
      </c>
      <c r="K6" s="64" t="s">
        <v>409</v>
      </c>
      <c r="L6" s="64" t="s">
        <v>409</v>
      </c>
      <c r="M6" s="187" t="s">
        <v>448</v>
      </c>
      <c r="O6" s="140" t="s">
        <v>462</v>
      </c>
      <c r="P6" s="85"/>
    </row>
    <row r="7" spans="1:16" ht="18" x14ac:dyDescent="0.3">
      <c r="A7" s="177"/>
      <c r="B7" s="64">
        <v>2024</v>
      </c>
      <c r="C7" s="64">
        <v>2023</v>
      </c>
      <c r="D7" s="64">
        <v>2023</v>
      </c>
      <c r="G7" s="186"/>
      <c r="H7" s="141">
        <f>+Forecast!B32</f>
        <v>2025</v>
      </c>
      <c r="I7" s="141">
        <f>H7+1</f>
        <v>2026</v>
      </c>
      <c r="J7" s="141">
        <f t="shared" ref="J7:L7" si="0">I7+1</f>
        <v>2027</v>
      </c>
      <c r="K7" s="141">
        <f t="shared" si="0"/>
        <v>2028</v>
      </c>
      <c r="L7" s="141">
        <f t="shared" si="0"/>
        <v>2029</v>
      </c>
      <c r="M7" s="188"/>
      <c r="O7" s="142" t="s">
        <v>464</v>
      </c>
      <c r="P7" s="85">
        <f>+WACC!B23+P9</f>
        <v>0.15270426488765046</v>
      </c>
    </row>
    <row r="8" spans="1:16" x14ac:dyDescent="0.3">
      <c r="A8" s="67" t="s">
        <v>251</v>
      </c>
      <c r="B8" s="78">
        <f>+SF_BS!B35</f>
        <v>59646</v>
      </c>
      <c r="C8" s="78">
        <f>+SF_BS!C35</f>
        <v>58359</v>
      </c>
      <c r="D8" s="73">
        <f>+Adobe_BS!B38</f>
        <v>16518</v>
      </c>
      <c r="G8" s="143" t="s">
        <v>111</v>
      </c>
      <c r="H8" s="67"/>
      <c r="I8" s="67"/>
      <c r="J8" s="67"/>
      <c r="K8" s="67"/>
      <c r="L8" s="67"/>
      <c r="M8" s="67"/>
    </row>
    <row r="9" spans="1:16" ht="18" x14ac:dyDescent="0.3">
      <c r="A9" s="67" t="s">
        <v>252</v>
      </c>
      <c r="B9" s="78">
        <f>+SF_BS!B35-SF_BS!B31</f>
        <v>71338</v>
      </c>
      <c r="C9" s="78">
        <f>+SF_BS!C35-SF_BS!C31</f>
        <v>62359</v>
      </c>
      <c r="D9" s="73">
        <f>+Adobe_BS!B38-Adobe_BS!B37</f>
        <v>44647</v>
      </c>
      <c r="G9" s="144" t="s">
        <v>215</v>
      </c>
      <c r="H9" s="71">
        <f>+Forecast!B33</f>
        <v>33114.15</v>
      </c>
      <c r="I9" s="71">
        <f>+Forecast!C33</f>
        <v>32120.7255</v>
      </c>
      <c r="J9" s="71">
        <f>+Forecast!D33</f>
        <v>35332.798050000005</v>
      </c>
      <c r="K9" s="71">
        <f>+Forecast!E33</f>
        <v>40632.717757500002</v>
      </c>
      <c r="L9" s="71">
        <f>+Forecast!F33</f>
        <v>46727.625421124998</v>
      </c>
      <c r="M9" s="71">
        <f>L9*(1+P9)</f>
        <v>46727.625421124998</v>
      </c>
      <c r="O9" s="142" t="s">
        <v>465</v>
      </c>
      <c r="P9" s="145">
        <v>0</v>
      </c>
    </row>
    <row r="10" spans="1:16" x14ac:dyDescent="0.3">
      <c r="A10" s="67" t="s">
        <v>120</v>
      </c>
      <c r="B10" s="78">
        <v>971</v>
      </c>
      <c r="C10" s="78">
        <v>981</v>
      </c>
      <c r="D10" s="67">
        <v>455</v>
      </c>
      <c r="G10" s="144" t="s">
        <v>449</v>
      </c>
      <c r="H10" s="71">
        <f>+Forecast!B47</f>
        <v>2091.2248008000006</v>
      </c>
      <c r="I10" s="71">
        <f>+Forecast!C47</f>
        <v>2028.4880567760006</v>
      </c>
      <c r="J10" s="71">
        <f>+Forecast!D47</f>
        <v>2231.3368624535983</v>
      </c>
      <c r="K10" s="71">
        <f>+Forecast!E47</f>
        <v>2566.0373918216364</v>
      </c>
      <c r="L10" s="71">
        <f>+Forecast!F47</f>
        <v>2950.9430005948843</v>
      </c>
      <c r="M10" s="71">
        <f>L10*(1+P10)</f>
        <v>2950.9430005948843</v>
      </c>
      <c r="O10" s="142" t="s">
        <v>459</v>
      </c>
      <c r="P10" s="145">
        <v>0</v>
      </c>
    </row>
    <row r="11" spans="1:16" x14ac:dyDescent="0.3">
      <c r="A11" s="67" t="s">
        <v>253</v>
      </c>
      <c r="B11" s="78">
        <f>+B8/B10</f>
        <v>61.427394438722963</v>
      </c>
      <c r="C11" s="78">
        <f>+C8/C10</f>
        <v>59.489296636085626</v>
      </c>
      <c r="D11" s="78">
        <f>+D8/D10</f>
        <v>36.303296703296702</v>
      </c>
      <c r="G11" s="146" t="s">
        <v>450</v>
      </c>
      <c r="H11" s="71">
        <f>+(SF_BS!B16-SF_BS!B3-SF_BS!B4)-(SF_BS!B26-SF_BS!B19-SF_BS!B21-SF_BS!B23-SF_BS!B24)</f>
        <v>58040</v>
      </c>
      <c r="I11" s="71">
        <f>+H11*1.01</f>
        <v>58620.4</v>
      </c>
      <c r="J11" s="71">
        <f>+I11*1.02</f>
        <v>59792.808000000005</v>
      </c>
      <c r="K11" s="71">
        <f>+J11*1.03</f>
        <v>61586.592240000005</v>
      </c>
      <c r="L11" s="71">
        <f>+K11*1.04</f>
        <v>64050.055929600006</v>
      </c>
      <c r="M11" s="71">
        <f>L11*(1+P11)</f>
        <v>64050.055929600006</v>
      </c>
      <c r="O11" s="147" t="s">
        <v>460</v>
      </c>
      <c r="P11" s="74">
        <v>0</v>
      </c>
    </row>
    <row r="12" spans="1:16" x14ac:dyDescent="0.3">
      <c r="A12" s="67" t="s">
        <v>124</v>
      </c>
      <c r="B12" s="78">
        <f>+B9/B10</f>
        <v>73.468589083419161</v>
      </c>
      <c r="C12" s="78">
        <f>+C9/C10</f>
        <v>63.566768603465853</v>
      </c>
      <c r="D12" s="78">
        <f>+D9/D10</f>
        <v>98.125274725274721</v>
      </c>
      <c r="G12" s="146"/>
      <c r="H12" s="78">
        <f>+H11-((SF_BS!B16-SF_BS!B3-SF_BS!B4)-(SF_BS!B26-SF_BS!B19-SF_BS!B21-SF_BS!B23-SF_BS!B24))</f>
        <v>0</v>
      </c>
      <c r="I12" s="148">
        <f>I11-H11</f>
        <v>580.40000000000146</v>
      </c>
      <c r="J12" s="148">
        <f t="shared" ref="J12:M12" si="1">J11-I11</f>
        <v>1172.4080000000031</v>
      </c>
      <c r="K12" s="148">
        <f t="shared" si="1"/>
        <v>1793.7842400000009</v>
      </c>
      <c r="L12" s="148">
        <f t="shared" si="1"/>
        <v>2463.4636896000011</v>
      </c>
      <c r="M12" s="148">
        <f t="shared" si="1"/>
        <v>0</v>
      </c>
      <c r="O12" s="147" t="s">
        <v>461</v>
      </c>
      <c r="P12" s="149"/>
    </row>
    <row r="13" spans="1:16" x14ac:dyDescent="0.3">
      <c r="A13" s="67" t="s">
        <v>254</v>
      </c>
      <c r="B13" s="78">
        <v>287.35000000000002</v>
      </c>
      <c r="C13" s="78">
        <v>164.54</v>
      </c>
      <c r="D13" s="67">
        <v>596.6</v>
      </c>
      <c r="G13" s="146" t="s">
        <v>451</v>
      </c>
      <c r="H13" s="78">
        <f t="shared" ref="H13:M13" si="2">H10-H12</f>
        <v>2091.2248008000006</v>
      </c>
      <c r="I13" s="78">
        <f t="shared" si="2"/>
        <v>1448.0880567759991</v>
      </c>
      <c r="J13" s="78">
        <f t="shared" si="2"/>
        <v>1058.9288624535952</v>
      </c>
      <c r="K13" s="78">
        <f t="shared" si="2"/>
        <v>772.25315182163558</v>
      </c>
      <c r="L13" s="78">
        <f t="shared" si="2"/>
        <v>487.47931099488324</v>
      </c>
      <c r="M13" s="78">
        <f t="shared" si="2"/>
        <v>2950.9430005948843</v>
      </c>
    </row>
    <row r="14" spans="1:16" x14ac:dyDescent="0.3">
      <c r="A14" s="67" t="s">
        <v>121</v>
      </c>
      <c r="B14" s="78">
        <f>+B10*B13</f>
        <v>279016.85000000003</v>
      </c>
      <c r="C14" s="78">
        <f>+C10*C13</f>
        <v>161413.74</v>
      </c>
      <c r="D14" s="78">
        <f>+D10*D13</f>
        <v>271453</v>
      </c>
      <c r="G14" s="144" t="s">
        <v>452</v>
      </c>
      <c r="H14" s="78">
        <f>H13/(1+$P$7)^(H7-$B$7)</f>
        <v>1814.1902173007263</v>
      </c>
      <c r="I14" s="78">
        <f t="shared" ref="I14:L14" si="3">I13/(1+$P$7)^(I7-$B$7)</f>
        <v>1089.8310363982721</v>
      </c>
      <c r="J14" s="78">
        <f t="shared" si="3"/>
        <v>691.37406745875478</v>
      </c>
      <c r="K14" s="78">
        <f t="shared" si="3"/>
        <v>437.40937742278294</v>
      </c>
      <c r="L14" s="78">
        <f t="shared" si="3"/>
        <v>239.53373620363783</v>
      </c>
      <c r="M14" s="78">
        <f>M13/(1+$P$7)^(L7-$B$7)</f>
        <v>1450.0110800884549</v>
      </c>
    </row>
    <row r="15" spans="1:16" ht="17.399999999999999" hidden="1" x14ac:dyDescent="0.3">
      <c r="A15" s="65"/>
      <c r="B15" s="67"/>
      <c r="C15" s="67"/>
      <c r="D15" s="67"/>
      <c r="G15" s="150"/>
      <c r="H15" s="150"/>
      <c r="I15" s="151"/>
      <c r="J15" s="151"/>
      <c r="K15" s="151"/>
      <c r="L15" s="151"/>
      <c r="M15" s="151"/>
    </row>
    <row r="16" spans="1:16" x14ac:dyDescent="0.3">
      <c r="A16" s="67" t="s">
        <v>255</v>
      </c>
      <c r="B16" s="79">
        <f>+B14/B8</f>
        <v>4.6778803272641927</v>
      </c>
      <c r="C16" s="79">
        <f>+C14/C8</f>
        <v>2.7658757004061068</v>
      </c>
      <c r="D16" s="79">
        <f>+D14/D8</f>
        <v>16.433769221455382</v>
      </c>
      <c r="G16" s="146" t="s">
        <v>438</v>
      </c>
      <c r="H16" s="78">
        <f t="shared" ref="H16:M16" si="4">+H10-H11*$P$7</f>
        <v>-6771.7307332792316</v>
      </c>
      <c r="I16" s="78">
        <f t="shared" si="4"/>
        <v>-6923.0970326440238</v>
      </c>
      <c r="J16" s="78">
        <f t="shared" si="4"/>
        <v>-6899.2799287548278</v>
      </c>
      <c r="K16" s="78">
        <f t="shared" si="4"/>
        <v>-6838.4979031230423</v>
      </c>
      <c r="L16" s="78">
        <f t="shared" si="4"/>
        <v>-6829.7737061475827</v>
      </c>
      <c r="M16" s="78">
        <f t="shared" si="4"/>
        <v>-6829.7737061475827</v>
      </c>
    </row>
    <row r="17" spans="1:13" x14ac:dyDescent="0.3">
      <c r="A17" s="67" t="s">
        <v>256</v>
      </c>
      <c r="B17" s="79">
        <f>+B14/B9</f>
        <v>3.9111952956348657</v>
      </c>
      <c r="C17" s="79">
        <f>+C14/C9</f>
        <v>2.5884594044163634</v>
      </c>
      <c r="D17" s="79">
        <f>+D14/D9</f>
        <v>6.0799829775796805</v>
      </c>
      <c r="G17" s="146" t="s">
        <v>453</v>
      </c>
      <c r="H17" s="78">
        <f>H16/(1+$P$7)^(H7-$B$7)</f>
        <v>-5874.6470708506013</v>
      </c>
      <c r="I17" s="78">
        <f t="shared" ref="I17:L17" si="5">I16/(1+$P$7)^(I7-$B$7)</f>
        <v>-5210.3226588100752</v>
      </c>
      <c r="J17" s="78">
        <f t="shared" si="5"/>
        <v>-4504.5360420410725</v>
      </c>
      <c r="K17" s="78">
        <f t="shared" si="5"/>
        <v>-3873.371190853913</v>
      </c>
      <c r="L17" s="78">
        <f t="shared" si="5"/>
        <v>-3355.9602968997974</v>
      </c>
      <c r="M17" s="78">
        <f>M16/(1+$P$7)^(L7-$B$7)</f>
        <v>-3355.9602968997974</v>
      </c>
    </row>
    <row r="18" spans="1:13" x14ac:dyDescent="0.3">
      <c r="A18" s="65"/>
      <c r="B18" s="67"/>
      <c r="C18" s="67"/>
      <c r="D18" s="67"/>
      <c r="G18" s="152"/>
      <c r="H18" s="152"/>
    </row>
    <row r="19" spans="1:13" x14ac:dyDescent="0.3">
      <c r="A19" s="65" t="s">
        <v>263</v>
      </c>
      <c r="B19" s="67"/>
      <c r="C19" s="67"/>
      <c r="D19" s="67"/>
      <c r="G19" s="153" t="s">
        <v>380</v>
      </c>
      <c r="H19" s="154" t="s">
        <v>451</v>
      </c>
      <c r="I19" s="154" t="s">
        <v>438</v>
      </c>
      <c r="J19" s="152"/>
      <c r="K19" s="152"/>
      <c r="L19" s="152"/>
      <c r="M19" s="152"/>
    </row>
    <row r="20" spans="1:13" x14ac:dyDescent="0.3">
      <c r="A20" s="67" t="s">
        <v>107</v>
      </c>
      <c r="B20" s="67">
        <f>+'SF_P&amp;L'!C19</f>
        <v>4136</v>
      </c>
      <c r="C20" s="67">
        <f>+'SF_P&amp;L'!D19</f>
        <v>208</v>
      </c>
      <c r="D20" s="67">
        <f>+Adobe_PL!B20</f>
        <v>5428</v>
      </c>
      <c r="G20" s="153" t="s">
        <v>454</v>
      </c>
      <c r="H20" s="71">
        <f>SUM(H14:M14)</f>
        <v>5722.3495148726288</v>
      </c>
      <c r="I20" s="71">
        <f>SUM(H17:M17)+((SF_BS!B16-SF_BS!B3-SF_BS!B4)-(SF_BS!B26-SF_BS!B19-SF_BS!B21-SF_BS!B23-SF_BS!B24))</f>
        <v>31865.202443644746</v>
      </c>
      <c r="J20" s="155"/>
      <c r="K20" s="155"/>
      <c r="L20" s="155"/>
      <c r="M20" s="155"/>
    </row>
    <row r="21" spans="1:13" x14ac:dyDescent="0.3">
      <c r="A21" s="67" t="s">
        <v>265</v>
      </c>
      <c r="B21" s="67">
        <v>974</v>
      </c>
      <c r="C21" s="67">
        <v>992</v>
      </c>
      <c r="D21" s="67">
        <v>457</v>
      </c>
      <c r="G21" s="153" t="s">
        <v>455</v>
      </c>
      <c r="H21" s="148">
        <f>+'Ratio Workings'!B153</f>
        <v>-13</v>
      </c>
      <c r="I21" s="148">
        <f>H21</f>
        <v>-13</v>
      </c>
      <c r="J21" s="152"/>
      <c r="K21" s="152"/>
      <c r="L21" s="152"/>
      <c r="M21" s="152"/>
    </row>
    <row r="22" spans="1:13" ht="31.2" x14ac:dyDescent="0.3">
      <c r="A22" s="156" t="s">
        <v>266</v>
      </c>
      <c r="B22" s="67">
        <v>984</v>
      </c>
      <c r="C22" s="67">
        <v>997</v>
      </c>
      <c r="D22" s="67">
        <v>459</v>
      </c>
      <c r="G22" s="157" t="s">
        <v>456</v>
      </c>
      <c r="H22" s="71">
        <v>0</v>
      </c>
      <c r="I22" s="71">
        <v>0</v>
      </c>
    </row>
    <row r="23" spans="1:13" x14ac:dyDescent="0.3">
      <c r="A23" s="67" t="s">
        <v>264</v>
      </c>
      <c r="B23" s="81">
        <f>+B20/B21</f>
        <v>4.2464065708418888</v>
      </c>
      <c r="C23" s="81">
        <f>+C20/C21</f>
        <v>0.20967741935483872</v>
      </c>
      <c r="D23" s="81">
        <f>+D20/D21</f>
        <v>11.87746170678337</v>
      </c>
      <c r="G23" s="153" t="s">
        <v>457</v>
      </c>
      <c r="H23" s="71">
        <f>H20-H21-H22</f>
        <v>5735.3495148726288</v>
      </c>
      <c r="I23" s="71">
        <f>I20-I21-I22</f>
        <v>31878.202443644746</v>
      </c>
      <c r="J23" s="158"/>
      <c r="K23" s="158"/>
      <c r="L23" s="158"/>
      <c r="M23" s="158"/>
    </row>
    <row r="24" spans="1:13" x14ac:dyDescent="0.3">
      <c r="A24" s="67" t="s">
        <v>261</v>
      </c>
      <c r="B24" s="81">
        <f>+B20/B22</f>
        <v>4.2032520325203251</v>
      </c>
      <c r="C24" s="81">
        <f>+C20/C22</f>
        <v>0.20862587763289869</v>
      </c>
      <c r="D24" s="81">
        <f>+D20/D22</f>
        <v>11.825708061002178</v>
      </c>
      <c r="G24" s="159" t="s">
        <v>120</v>
      </c>
      <c r="H24" s="71">
        <f>+B10</f>
        <v>971</v>
      </c>
      <c r="I24" s="71">
        <f>H24</f>
        <v>971</v>
      </c>
    </row>
    <row r="25" spans="1:13" x14ac:dyDescent="0.3">
      <c r="A25" s="67" t="s">
        <v>267</v>
      </c>
      <c r="B25" s="81">
        <v>0.4</v>
      </c>
      <c r="C25" s="81">
        <v>0</v>
      </c>
      <c r="D25" s="81">
        <v>0</v>
      </c>
      <c r="G25" s="153" t="s">
        <v>458</v>
      </c>
      <c r="H25" s="160">
        <f>H23/H24</f>
        <v>5.9066421368410182</v>
      </c>
      <c r="I25" s="160">
        <f>I23/I24</f>
        <v>32.830280580478629</v>
      </c>
    </row>
    <row r="26" spans="1:13" x14ac:dyDescent="0.3">
      <c r="A26" s="67" t="s">
        <v>258</v>
      </c>
      <c r="B26" s="81">
        <f>+B13</f>
        <v>287.35000000000002</v>
      </c>
      <c r="C26" s="81">
        <f>+C13</f>
        <v>164.54</v>
      </c>
      <c r="D26" s="81">
        <f>+D13</f>
        <v>596.6</v>
      </c>
    </row>
    <row r="27" spans="1:13" x14ac:dyDescent="0.3">
      <c r="A27" s="67"/>
      <c r="B27" s="67"/>
      <c r="C27" s="67"/>
      <c r="D27" s="67"/>
    </row>
    <row r="28" spans="1:13" x14ac:dyDescent="0.3">
      <c r="A28" s="67" t="s">
        <v>259</v>
      </c>
      <c r="B28" s="85">
        <f>+B25/B23</f>
        <v>9.419729206963251E-2</v>
      </c>
      <c r="C28" s="85">
        <f>+C25/C23</f>
        <v>0</v>
      </c>
      <c r="D28" s="85">
        <f>+D25/D23</f>
        <v>0</v>
      </c>
    </row>
    <row r="29" spans="1:13" x14ac:dyDescent="0.3">
      <c r="A29" s="67" t="s">
        <v>260</v>
      </c>
      <c r="B29" s="85">
        <f>+B25/B26</f>
        <v>1.3920306246737427E-3</v>
      </c>
      <c r="C29" s="85">
        <f>+C25/C26</f>
        <v>0</v>
      </c>
      <c r="D29" s="85">
        <f>+D25/D26</f>
        <v>0</v>
      </c>
    </row>
  </sheetData>
  <mergeCells count="4">
    <mergeCell ref="B6:C6"/>
    <mergeCell ref="A6:A7"/>
    <mergeCell ref="G6:G7"/>
    <mergeCell ref="M6:M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CF5A-FD3E-4EDB-9FE8-87449A631C3C}">
  <dimension ref="A1:I23"/>
  <sheetViews>
    <sheetView workbookViewId="0">
      <selection activeCell="E25" sqref="A25:XFD35"/>
    </sheetView>
  </sheetViews>
  <sheetFormatPr defaultRowHeight="15.6" x14ac:dyDescent="0.3"/>
  <cols>
    <col min="1" max="1" width="52.6640625" style="60" customWidth="1"/>
    <col min="2" max="3" width="12.77734375" style="60" customWidth="1"/>
    <col min="4" max="4" width="10.33203125" style="60" customWidth="1"/>
    <col min="5" max="5" width="9.109375" style="60" customWidth="1"/>
    <col min="6" max="6" width="9.109375" style="60" bestFit="1" customWidth="1"/>
    <col min="7" max="7" width="11.44140625" style="60" bestFit="1" customWidth="1"/>
    <col min="8" max="8" width="10" style="60" customWidth="1"/>
    <col min="9" max="9" width="14" style="60" customWidth="1"/>
    <col min="10" max="16384" width="8.88671875" style="60"/>
  </cols>
  <sheetData>
    <row r="1" spans="1:9" x14ac:dyDescent="0.3">
      <c r="A1" s="90" t="str">
        <f>+'Ratio Analysis Summary'!A1</f>
        <v>BUSI 226 : Financial Statement Analysis</v>
      </c>
    </row>
    <row r="2" spans="1:9" x14ac:dyDescent="0.3">
      <c r="A2" s="90" t="str">
        <f>+'Ratio Analysis Summary'!A2</f>
        <v>Salesforce Inc</v>
      </c>
    </row>
    <row r="3" spans="1:9" x14ac:dyDescent="0.3">
      <c r="A3" s="90" t="str">
        <f>+'Ratio Analysis Summary'!A3</f>
        <v>For Fiscal year ended January 31, 2024</v>
      </c>
    </row>
    <row r="4" spans="1:9" x14ac:dyDescent="0.3">
      <c r="A4" s="90" t="s">
        <v>429</v>
      </c>
    </row>
    <row r="5" spans="1:9" x14ac:dyDescent="0.3">
      <c r="I5" s="60" t="s">
        <v>298</v>
      </c>
    </row>
    <row r="6" spans="1:9" x14ac:dyDescent="0.3">
      <c r="A6" s="65" t="s">
        <v>268</v>
      </c>
      <c r="B6" s="64" t="s">
        <v>118</v>
      </c>
      <c r="C6" s="64" t="s">
        <v>262</v>
      </c>
    </row>
    <row r="7" spans="1:9" x14ac:dyDescent="0.3">
      <c r="A7" s="67" t="s">
        <v>271</v>
      </c>
      <c r="B7" s="118">
        <v>1.2991608707291708E-3</v>
      </c>
      <c r="C7" s="119">
        <v>1.7828659999999999E-3</v>
      </c>
    </row>
    <row r="8" spans="1:9" x14ac:dyDescent="0.3">
      <c r="A8" s="67" t="s">
        <v>272</v>
      </c>
      <c r="B8" s="89">
        <v>1.1637574234618808</v>
      </c>
      <c r="C8" s="77">
        <v>1.549670892</v>
      </c>
    </row>
    <row r="9" spans="1:9" x14ac:dyDescent="0.3">
      <c r="A9" s="67" t="s">
        <v>273</v>
      </c>
      <c r="B9" s="85">
        <v>0.13539999999999999</v>
      </c>
      <c r="C9" s="85">
        <v>0.13539999999999999</v>
      </c>
    </row>
    <row r="10" spans="1:9" ht="18" x14ac:dyDescent="0.3">
      <c r="A10" s="65" t="s">
        <v>443</v>
      </c>
      <c r="B10" s="132">
        <f>B7+B8*(B9)</f>
        <v>0.15887191600746783</v>
      </c>
      <c r="C10" s="132">
        <f>WACC!C7+WACC!C8*(WACC!C9)</f>
        <v>0.21160830477679998</v>
      </c>
    </row>
    <row r="11" spans="1:9" x14ac:dyDescent="0.3">
      <c r="A11" s="65"/>
      <c r="B11" s="119"/>
      <c r="C11" s="119"/>
    </row>
    <row r="12" spans="1:9" x14ac:dyDescent="0.3">
      <c r="A12" s="65" t="s">
        <v>444</v>
      </c>
      <c r="B12" s="67"/>
      <c r="C12" s="67"/>
    </row>
    <row r="13" spans="1:9" x14ac:dyDescent="0.3">
      <c r="A13" s="67" t="s">
        <v>282</v>
      </c>
      <c r="B13" s="120">
        <v>287.35000000000002</v>
      </c>
      <c r="C13" s="67">
        <v>596.6</v>
      </c>
    </row>
    <row r="14" spans="1:9" x14ac:dyDescent="0.3">
      <c r="A14" s="67" t="s">
        <v>283</v>
      </c>
      <c r="B14" s="71">
        <v>971</v>
      </c>
      <c r="C14" s="67">
        <v>455</v>
      </c>
    </row>
    <row r="15" spans="1:9" x14ac:dyDescent="0.3">
      <c r="A15" s="67" t="s">
        <v>284</v>
      </c>
      <c r="B15" s="71">
        <f>B13*B14</f>
        <v>279016.85000000003</v>
      </c>
      <c r="C15" s="71">
        <f>C13*C14</f>
        <v>271453</v>
      </c>
    </row>
    <row r="16" spans="1:9" x14ac:dyDescent="0.3">
      <c r="A16" s="67"/>
      <c r="B16" s="67"/>
      <c r="C16" s="67"/>
    </row>
    <row r="17" spans="1:3" x14ac:dyDescent="0.3">
      <c r="A17" s="65" t="s">
        <v>446</v>
      </c>
      <c r="B17" s="67"/>
      <c r="C17" s="67"/>
    </row>
    <row r="18" spans="1:3" x14ac:dyDescent="0.3">
      <c r="A18" s="67" t="s">
        <v>281</v>
      </c>
      <c r="B18" s="71">
        <f>+SF_BS!B19+SF_BS!B21+SF_BS!B23+SF_BS!B24</f>
        <v>12588</v>
      </c>
      <c r="C18" s="71">
        <v>4080</v>
      </c>
    </row>
    <row r="19" spans="1:3" x14ac:dyDescent="0.3">
      <c r="A19" s="67" t="s">
        <v>277</v>
      </c>
      <c r="B19" s="71">
        <v>254</v>
      </c>
      <c r="C19" s="67">
        <v>113</v>
      </c>
    </row>
    <row r="20" spans="1:3" x14ac:dyDescent="0.3">
      <c r="A20" s="67" t="s">
        <v>278</v>
      </c>
      <c r="B20" s="71">
        <f>((SF_BS!B19+SF_BS!B21+SF_BS!B23+SF_BS!B24)+(SF_BS!C19+SF_BS!C21+SF_BS!C23+SF_BS!C24))/2</f>
        <v>13338</v>
      </c>
      <c r="C20" s="89">
        <v>4356.5</v>
      </c>
    </row>
    <row r="21" spans="1:3" x14ac:dyDescent="0.3">
      <c r="A21" s="65" t="s">
        <v>445</v>
      </c>
      <c r="B21" s="132">
        <f>(B19/B20)*(1-0.16)</f>
        <v>1.5996401259559156E-2</v>
      </c>
      <c r="C21" s="132">
        <f>(WACC!C19/WACC!C20)*(1-0.2)</f>
        <v>2.0750602547916906E-2</v>
      </c>
    </row>
    <row r="22" spans="1:3" x14ac:dyDescent="0.3">
      <c r="A22" s="67"/>
      <c r="B22" s="71"/>
      <c r="C22" s="67"/>
    </row>
    <row r="23" spans="1:3" x14ac:dyDescent="0.3">
      <c r="A23" s="65" t="s">
        <v>447</v>
      </c>
      <c r="B23" s="132">
        <f>(B21*(B18/(B18+B15)))+(B10*(B15/(B18+B15)))</f>
        <v>0.15270426488765046</v>
      </c>
      <c r="C23" s="132">
        <f>(WACC!C21*(WACC!C18/(WACC!C18+WACC!C15)))+(WACC!C10*(WACC!C15/(WACC!C18+WACC!C15)))</f>
        <v>0.20878214810919996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D946-538A-4442-A92A-E0CAA0E0EE17}">
  <dimension ref="B1:J65"/>
  <sheetViews>
    <sheetView workbookViewId="0">
      <selection activeCell="H28" sqref="H28"/>
    </sheetView>
  </sheetViews>
  <sheetFormatPr defaultRowHeight="14.4" x14ac:dyDescent="0.3"/>
  <cols>
    <col min="2" max="2" width="28.88671875" customWidth="1"/>
    <col min="3" max="3" width="10.88671875" bestFit="1" customWidth="1"/>
    <col min="5" max="5" width="10.33203125" customWidth="1"/>
    <col min="6" max="6" width="9.109375" customWidth="1"/>
    <col min="8" max="8" width="10.21875" bestFit="1" customWidth="1"/>
    <col min="9" max="9" width="10" customWidth="1"/>
    <col min="10" max="10" width="14" customWidth="1"/>
  </cols>
  <sheetData>
    <row r="1" spans="2:10" x14ac:dyDescent="0.3">
      <c r="J1" t="s">
        <v>298</v>
      </c>
    </row>
    <row r="2" spans="2:10" ht="18" x14ac:dyDescent="0.35">
      <c r="B2" s="34" t="s">
        <v>268</v>
      </c>
      <c r="F2" s="35" t="s">
        <v>118</v>
      </c>
      <c r="H2" s="35" t="s">
        <v>262</v>
      </c>
    </row>
    <row r="3" spans="2:10" x14ac:dyDescent="0.3">
      <c r="B3" t="s">
        <v>271</v>
      </c>
      <c r="F3" s="47">
        <v>1.2991608707291708E-3</v>
      </c>
    </row>
    <row r="4" spans="2:10" x14ac:dyDescent="0.3">
      <c r="B4" t="s">
        <v>272</v>
      </c>
      <c r="F4" s="50">
        <v>1.1637574234618808</v>
      </c>
    </row>
    <row r="5" spans="2:10" x14ac:dyDescent="0.3">
      <c r="B5" t="s">
        <v>273</v>
      </c>
      <c r="F5" s="47">
        <v>0.13539999999999999</v>
      </c>
    </row>
    <row r="6" spans="2:10" x14ac:dyDescent="0.3">
      <c r="F6" s="38"/>
    </row>
    <row r="7" spans="2:10" ht="15.6" x14ac:dyDescent="0.35">
      <c r="B7" s="1" t="s">
        <v>274</v>
      </c>
      <c r="F7" s="39">
        <f>F3+F4*(F5)</f>
        <v>0.15887191600746783</v>
      </c>
    </row>
    <row r="8" spans="2:10" x14ac:dyDescent="0.3">
      <c r="B8" t="s">
        <v>275</v>
      </c>
    </row>
    <row r="11" spans="2:10" ht="18" x14ac:dyDescent="0.35">
      <c r="B11" s="34" t="s">
        <v>276</v>
      </c>
    </row>
    <row r="13" spans="2:10" x14ac:dyDescent="0.3">
      <c r="B13" t="s">
        <v>277</v>
      </c>
      <c r="F13" s="48">
        <v>254</v>
      </c>
    </row>
    <row r="14" spans="2:10" x14ac:dyDescent="0.3">
      <c r="B14" t="s">
        <v>278</v>
      </c>
      <c r="F14" s="48">
        <v>13338</v>
      </c>
    </row>
    <row r="16" spans="2:10" x14ac:dyDescent="0.3">
      <c r="B16" s="1" t="s">
        <v>279</v>
      </c>
      <c r="F16" s="36">
        <f>(F13/F14)*(1-0.16)</f>
        <v>1.5996401259559156E-2</v>
      </c>
    </row>
    <row r="17" spans="2:6" x14ac:dyDescent="0.3">
      <c r="B17" t="s">
        <v>280</v>
      </c>
    </row>
    <row r="20" spans="2:6" x14ac:dyDescent="0.3">
      <c r="B20" t="s">
        <v>281</v>
      </c>
      <c r="F20" s="40">
        <v>12588</v>
      </c>
    </row>
    <row r="21" spans="2:6" x14ac:dyDescent="0.3">
      <c r="F21" s="32"/>
    </row>
    <row r="22" spans="2:6" x14ac:dyDescent="0.3">
      <c r="F22" s="32"/>
    </row>
    <row r="23" spans="2:6" x14ac:dyDescent="0.3">
      <c r="B23" t="s">
        <v>282</v>
      </c>
      <c r="F23" s="49">
        <v>287.35000000000002</v>
      </c>
    </row>
    <row r="24" spans="2:6" x14ac:dyDescent="0.3">
      <c r="B24" t="s">
        <v>283</v>
      </c>
      <c r="F24" s="48">
        <v>971</v>
      </c>
    </row>
    <row r="25" spans="2:6" x14ac:dyDescent="0.3">
      <c r="B25" t="s">
        <v>284</v>
      </c>
      <c r="F25" s="40">
        <f>F23*F24</f>
        <v>279016.85000000003</v>
      </c>
    </row>
    <row r="26" spans="2:6" x14ac:dyDescent="0.3">
      <c r="B26" t="s">
        <v>285</v>
      </c>
    </row>
    <row r="28" spans="2:6" x14ac:dyDescent="0.3">
      <c r="B28" s="1" t="s">
        <v>286</v>
      </c>
      <c r="F28" s="41">
        <f>(F16*(F20/(F20+F25)))+(F7*(F25/(F20+F25)))</f>
        <v>0.15270426488765046</v>
      </c>
    </row>
    <row r="29" spans="2:6" x14ac:dyDescent="0.3">
      <c r="B29" s="1"/>
      <c r="E29" s="39"/>
    </row>
    <row r="30" spans="2:6" x14ac:dyDescent="0.3">
      <c r="B30" s="1"/>
      <c r="E30" s="39"/>
    </row>
    <row r="31" spans="2:6" x14ac:dyDescent="0.3">
      <c r="B31" s="1"/>
      <c r="E31" s="39"/>
    </row>
    <row r="33" spans="2:10" x14ac:dyDescent="0.3">
      <c r="B33" s="1" t="s">
        <v>269</v>
      </c>
      <c r="H33" s="35" t="s">
        <v>287</v>
      </c>
      <c r="I33" s="35" t="s">
        <v>288</v>
      </c>
      <c r="J33" s="35"/>
    </row>
    <row r="34" spans="2:10" x14ac:dyDescent="0.3">
      <c r="C34" s="42">
        <v>2022</v>
      </c>
      <c r="D34" s="42">
        <v>2021</v>
      </c>
      <c r="E34" s="42">
        <v>2020</v>
      </c>
      <c r="F34" s="42">
        <v>2019</v>
      </c>
      <c r="G34" s="42">
        <v>2018</v>
      </c>
      <c r="H34" s="35" t="s">
        <v>289</v>
      </c>
      <c r="I34" s="35" t="s">
        <v>290</v>
      </c>
      <c r="J34" s="35"/>
    </row>
    <row r="35" spans="2:10" x14ac:dyDescent="0.3">
      <c r="B35" t="s">
        <v>257</v>
      </c>
      <c r="C35" s="40">
        <v>1562</v>
      </c>
      <c r="D35" s="40">
        <v>1602</v>
      </c>
      <c r="E35" s="40">
        <v>1600</v>
      </c>
      <c r="F35" s="40">
        <v>1492</v>
      </c>
      <c r="G35" s="40">
        <v>1369</v>
      </c>
    </row>
    <row r="36" spans="2:10" x14ac:dyDescent="0.3">
      <c r="B36" t="s">
        <v>291</v>
      </c>
      <c r="C36" s="40">
        <v>4577</v>
      </c>
      <c r="D36" s="40">
        <v>27</v>
      </c>
      <c r="E36" s="40">
        <v>156</v>
      </c>
      <c r="F36" s="40">
        <v>753</v>
      </c>
      <c r="G36" s="40">
        <v>1511</v>
      </c>
    </row>
    <row r="37" spans="2:10" x14ac:dyDescent="0.3">
      <c r="B37" t="s">
        <v>120</v>
      </c>
      <c r="C37" s="43">
        <f>C35/C38</f>
        <v>398.46938775510205</v>
      </c>
      <c r="D37" s="43">
        <f t="shared" ref="D37:G37" si="0">D35/D38</f>
        <v>408.67346938775512</v>
      </c>
      <c r="E37" s="43">
        <f t="shared" si="0"/>
        <v>408.16326530612247</v>
      </c>
      <c r="F37" s="43">
        <f t="shared" si="0"/>
        <v>414.44444444444446</v>
      </c>
      <c r="G37" s="43">
        <f t="shared" si="0"/>
        <v>427.8125</v>
      </c>
    </row>
    <row r="38" spans="2:10" x14ac:dyDescent="0.3">
      <c r="B38" t="s">
        <v>267</v>
      </c>
      <c r="C38" s="44">
        <v>3.92</v>
      </c>
      <c r="D38" s="44">
        <v>3.92</v>
      </c>
      <c r="E38" s="44">
        <v>3.92</v>
      </c>
      <c r="F38" s="44">
        <v>3.6</v>
      </c>
      <c r="G38" s="44">
        <v>3.2</v>
      </c>
      <c r="H38" s="45">
        <f>AVERAGE(C38:G38)</f>
        <v>3.7119999999999997</v>
      </c>
      <c r="I38" s="33">
        <f>((C38-H38)/G38)/5</f>
        <v>1.3000000000000012E-2</v>
      </c>
    </row>
    <row r="39" spans="2:10" x14ac:dyDescent="0.3">
      <c r="B39" t="s">
        <v>292</v>
      </c>
      <c r="C39" s="44">
        <f>C36/C37</f>
        <v>11.486453265044814</v>
      </c>
      <c r="D39" s="44">
        <f t="shared" ref="D39:G39" si="1">D36/D37</f>
        <v>6.6067415730337073E-2</v>
      </c>
      <c r="E39" s="44">
        <f t="shared" si="1"/>
        <v>0.38219999999999998</v>
      </c>
      <c r="F39" s="44">
        <f t="shared" si="1"/>
        <v>1.8168900804289543</v>
      </c>
      <c r="G39" s="44">
        <f t="shared" si="1"/>
        <v>3.5319211102994887</v>
      </c>
      <c r="H39" s="45">
        <f>AVERAGE(C39:G39)</f>
        <v>3.4567063743007189</v>
      </c>
      <c r="I39" s="33">
        <f>((C39-H39)/G39)/5</f>
        <v>0.45469571035029227</v>
      </c>
    </row>
    <row r="40" spans="2:10" x14ac:dyDescent="0.3">
      <c r="B40" t="s">
        <v>293</v>
      </c>
      <c r="C40" s="45">
        <f>C38+C39</f>
        <v>15.406453265044814</v>
      </c>
      <c r="D40" s="45">
        <f t="shared" ref="D40:G40" si="2">D38+D39</f>
        <v>3.9860674157303371</v>
      </c>
      <c r="E40" s="45">
        <f t="shared" si="2"/>
        <v>4.3022</v>
      </c>
      <c r="F40" s="45">
        <f t="shared" si="2"/>
        <v>5.4168900804289546</v>
      </c>
      <c r="G40" s="45">
        <f t="shared" si="2"/>
        <v>6.7319211102994885</v>
      </c>
      <c r="H40" s="45">
        <f>AVERAGE(C40:G40)</f>
        <v>7.1687063743007187</v>
      </c>
      <c r="I40" s="33">
        <f>((C40-H40)/G40)/5</f>
        <v>0.24473688136780961</v>
      </c>
    </row>
    <row r="43" spans="2:10" x14ac:dyDescent="0.3">
      <c r="B43" s="1" t="s">
        <v>270</v>
      </c>
      <c r="H43" s="35" t="s">
        <v>287</v>
      </c>
      <c r="I43" s="35" t="s">
        <v>288</v>
      </c>
    </row>
    <row r="44" spans="2:10" x14ac:dyDescent="0.3">
      <c r="C44" s="42">
        <v>2022</v>
      </c>
      <c r="D44" s="42">
        <v>2021</v>
      </c>
      <c r="E44" s="42">
        <v>2020</v>
      </c>
      <c r="F44" s="42">
        <v>2019</v>
      </c>
      <c r="G44" s="42">
        <v>2018</v>
      </c>
      <c r="H44" s="35" t="s">
        <v>289</v>
      </c>
      <c r="I44" s="35" t="s">
        <v>290</v>
      </c>
    </row>
    <row r="45" spans="2:10" x14ac:dyDescent="0.3">
      <c r="B45" t="s">
        <v>257</v>
      </c>
      <c r="C45" s="40">
        <v>14939</v>
      </c>
      <c r="D45" s="40">
        <v>14924</v>
      </c>
      <c r="E45" s="40">
        <v>16865</v>
      </c>
      <c r="F45" s="40">
        <v>14652</v>
      </c>
      <c r="G45" s="40">
        <v>13798</v>
      </c>
    </row>
    <row r="46" spans="2:10" x14ac:dyDescent="0.3">
      <c r="B46" t="s">
        <v>291</v>
      </c>
      <c r="C46" s="40">
        <v>15295</v>
      </c>
      <c r="D46" s="40">
        <v>155</v>
      </c>
      <c r="E46" s="40">
        <v>405</v>
      </c>
      <c r="F46" s="40">
        <v>594</v>
      </c>
      <c r="G46" s="40">
        <v>636</v>
      </c>
    </row>
    <row r="47" spans="2:10" x14ac:dyDescent="0.3">
      <c r="B47" t="s">
        <v>120</v>
      </c>
      <c r="C47" s="43">
        <f t="shared" ref="C47:G47" si="3">C45/C48</f>
        <v>4208.1690140845076</v>
      </c>
      <c r="D47" s="43">
        <f t="shared" si="3"/>
        <v>4276.2177650429794</v>
      </c>
      <c r="E47" s="43">
        <f t="shared" si="3"/>
        <v>4846.2643678160921</v>
      </c>
      <c r="F47" s="43">
        <f t="shared" si="3"/>
        <v>4271.7201166180757</v>
      </c>
      <c r="G47" s="43">
        <f t="shared" si="3"/>
        <v>4271.826625386997</v>
      </c>
    </row>
    <row r="48" spans="2:10" x14ac:dyDescent="0.3">
      <c r="B48" t="s">
        <v>267</v>
      </c>
      <c r="C48" s="44">
        <v>3.55</v>
      </c>
      <c r="D48" s="44">
        <v>3.49</v>
      </c>
      <c r="E48" s="44">
        <v>3.48</v>
      </c>
      <c r="F48" s="44">
        <v>3.43</v>
      </c>
      <c r="G48" s="44">
        <v>3.23</v>
      </c>
      <c r="H48" s="45">
        <f t="shared" ref="H48:H50" si="4">AVERAGE(C48:G48)</f>
        <v>3.4359999999999999</v>
      </c>
      <c r="I48" s="33">
        <f>((C48-H48)/G48)/5</f>
        <v>7.058823529411758E-3</v>
      </c>
    </row>
    <row r="49" spans="2:9" x14ac:dyDescent="0.3">
      <c r="B49" t="s">
        <v>292</v>
      </c>
      <c r="C49" s="44">
        <f>C46/C47</f>
        <v>3.6345973626079386</v>
      </c>
      <c r="D49" s="44">
        <f t="shared" ref="D49:G49" si="5">D46/D47</f>
        <v>3.624698472259448E-2</v>
      </c>
      <c r="E49" s="44">
        <f t="shared" si="5"/>
        <v>8.3569522680106728E-2</v>
      </c>
      <c r="F49" s="44">
        <f t="shared" si="5"/>
        <v>0.13905405405405405</v>
      </c>
      <c r="G49" s="44">
        <f t="shared" si="5"/>
        <v>0.14888244673141035</v>
      </c>
      <c r="H49" s="45">
        <f t="shared" si="4"/>
        <v>0.80847007415922079</v>
      </c>
      <c r="I49" s="33">
        <f>((C49-H49)/G49)/5</f>
        <v>3.7964546533106889</v>
      </c>
    </row>
    <row r="50" spans="2:9" x14ac:dyDescent="0.3">
      <c r="B50" t="s">
        <v>293</v>
      </c>
      <c r="C50" s="45">
        <f>C48+C49</f>
        <v>7.1845973626079385</v>
      </c>
      <c r="D50" s="45">
        <f t="shared" ref="D50:G50" si="6">D48+D49</f>
        <v>3.5262469847225946</v>
      </c>
      <c r="E50" s="45">
        <f t="shared" si="6"/>
        <v>3.5635695226801065</v>
      </c>
      <c r="F50" s="45">
        <f t="shared" si="6"/>
        <v>3.5690540540540541</v>
      </c>
      <c r="G50" s="45">
        <f t="shared" si="6"/>
        <v>3.3788824467314105</v>
      </c>
      <c r="H50" s="45">
        <f t="shared" si="4"/>
        <v>4.2444700741592207</v>
      </c>
      <c r="I50" s="33">
        <f>((C50-H50)/G50)/5</f>
        <v>0.17402956952781082</v>
      </c>
    </row>
    <row r="53" spans="2:9" x14ac:dyDescent="0.3">
      <c r="B53" s="1" t="s">
        <v>269</v>
      </c>
    </row>
    <row r="55" spans="2:9" x14ac:dyDescent="0.3">
      <c r="B55" t="s">
        <v>294</v>
      </c>
      <c r="C55" s="46">
        <f>C40/F7</f>
        <v>96.974050872028428</v>
      </c>
      <c r="D55" t="s">
        <v>295</v>
      </c>
    </row>
    <row r="56" spans="2:9" x14ac:dyDescent="0.3">
      <c r="B56" t="s">
        <v>296</v>
      </c>
      <c r="C56" s="46">
        <f>C40/(F7-I38-C65)</f>
        <v>105.61630838012773</v>
      </c>
      <c r="D56" t="s">
        <v>295</v>
      </c>
    </row>
    <row r="59" spans="2:9" x14ac:dyDescent="0.3">
      <c r="B59" s="1" t="s">
        <v>270</v>
      </c>
    </row>
    <row r="61" spans="2:9" x14ac:dyDescent="0.3">
      <c r="B61" t="s">
        <v>294</v>
      </c>
      <c r="C61" s="46">
        <f>C50/WACC!C10</f>
        <v>33.952341190890884</v>
      </c>
      <c r="D61" t="s">
        <v>295</v>
      </c>
    </row>
    <row r="62" spans="2:9" x14ac:dyDescent="0.3">
      <c r="B62" t="s">
        <v>296</v>
      </c>
      <c r="C62" s="46">
        <f>C50/(WACC!C10-I48-C65)</f>
        <v>35.124006762543061</v>
      </c>
      <c r="D62" t="s">
        <v>295</v>
      </c>
    </row>
    <row r="65" spans="2:3" x14ac:dyDescent="0.3">
      <c r="B65" t="s">
        <v>297</v>
      </c>
      <c r="C65" s="37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Ratio Dump (2)</vt:lpstr>
      <vt:lpstr>Ratio Analysis Summary</vt:lpstr>
      <vt:lpstr>Ratio Workings</vt:lpstr>
      <vt:lpstr>Z-score</vt:lpstr>
      <vt:lpstr>Ratio Dumpa</vt:lpstr>
      <vt:lpstr>Forecast</vt:lpstr>
      <vt:lpstr>Valuation</vt:lpstr>
      <vt:lpstr>WACC</vt:lpstr>
      <vt:lpstr>WACCA</vt:lpstr>
      <vt:lpstr>Financials&gt;&gt;</vt:lpstr>
      <vt:lpstr>SF_BS</vt:lpstr>
      <vt:lpstr>SF_P&amp;L</vt:lpstr>
      <vt:lpstr>SF_CF</vt:lpstr>
      <vt:lpstr>Adobe_BS</vt:lpstr>
      <vt:lpstr>Adobe_PL</vt:lpstr>
      <vt:lpstr>Adobe_CF</vt:lpstr>
      <vt:lpstr>Ratio category</vt:lpstr>
      <vt:lpstr>SS</vt:lpstr>
      <vt:lpstr>Ratio categoryA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Tailor</dc:creator>
  <cp:lastModifiedBy>Manisha Mukesh Shingala</cp:lastModifiedBy>
  <dcterms:created xsi:type="dcterms:W3CDTF">2024-04-21T19:02:50Z</dcterms:created>
  <dcterms:modified xsi:type="dcterms:W3CDTF">2024-04-30T20:42:59Z</dcterms:modified>
</cp:coreProperties>
</file>